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jun\Downloads\Website\Website\"/>
    </mc:Choice>
  </mc:AlternateContent>
  <bookViews>
    <workbookView xWindow="0" yWindow="0" windowWidth="20490" windowHeight="7620" tabRatio="730" activeTab="15"/>
  </bookViews>
  <sheets>
    <sheet name="ERC Sheets -&gt;" sheetId="71" r:id="rId1"/>
    <sheet name="RR-GAP" sheetId="63" r:id="rId2"/>
    <sheet name="A-1" sheetId="60" r:id="rId3"/>
    <sheet name="A-2 (2)" sheetId="142" r:id="rId4"/>
    <sheet name="A-3 (2)" sheetId="143" r:id="rId5"/>
    <sheet name="A-4" sheetId="89" r:id="rId6"/>
    <sheet name="D1-FY-18" sheetId="151" state="hidden" r:id="rId7"/>
    <sheet name="D1FY19" sheetId="154" state="hidden" r:id="rId8"/>
    <sheet name="D1FY20" sheetId="155" state="hidden" r:id="rId9"/>
    <sheet name="D1FY21" sheetId="156" state="hidden" r:id="rId10"/>
    <sheet name="D1FY22" sheetId="157" state="hidden" r:id="rId11"/>
    <sheet name="D2- old" sheetId="152" state="hidden" r:id="rId12"/>
    <sheet name="D1 FY-20actual" sheetId="168" r:id="rId13"/>
    <sheet name="D1FY-21" sheetId="167" r:id="rId14"/>
    <sheet name="D1FY-22" sheetId="170" r:id="rId15"/>
    <sheet name="D2-new" sheetId="165" r:id="rId16"/>
    <sheet name="D-3" sheetId="12" r:id="rId17"/>
    <sheet name="D-4" sheetId="13" r:id="rId18"/>
    <sheet name="D-5" sheetId="15" r:id="rId19"/>
    <sheet name="D-6" sheetId="103" r:id="rId20"/>
    <sheet name="D-6A" sheetId="19" r:id="rId21"/>
    <sheet name="D-7" sheetId="21" r:id="rId22"/>
    <sheet name="D-8" sheetId="23" r:id="rId23"/>
    <sheet name="D-9" sheetId="25" r:id="rId24"/>
    <sheet name="D-9A" sheetId="27" r:id="rId25"/>
    <sheet name="D-10" sheetId="29" r:id="rId26"/>
    <sheet name="D-11" sheetId="31" r:id="rId27"/>
    <sheet name="D-12" sheetId="33" r:id="rId28"/>
    <sheet name="D-13" sheetId="35" r:id="rId29"/>
    <sheet name="D-14" sheetId="37" r:id="rId30"/>
    <sheet name="D-15" sheetId="39" r:id="rId31"/>
    <sheet name="D-16" sheetId="41" r:id="rId32"/>
    <sheet name="D-17" sheetId="43" r:id="rId33"/>
    <sheet name="D-18" sheetId="64" r:id="rId34"/>
    <sheet name="D-18A" sheetId="65" r:id="rId35"/>
    <sheet name="D-19" sheetId="123" r:id="rId36"/>
    <sheet name="D-19A" sheetId="166" r:id="rId37"/>
    <sheet name="D-22" sheetId="124" r:id="rId38"/>
    <sheet name="D-23" sheetId="125" r:id="rId39"/>
    <sheet name="D24" sheetId="126" r:id="rId40"/>
    <sheet name="Sheet1" sheetId="160" r:id="rId41"/>
    <sheet name="Sheet2" sheetId="161" r:id="rId42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</externalReferences>
  <definedNames>
    <definedName name="_xlnm._FilterDatabase" localSheetId="11" hidden="1">'D2- old'!$A$8:$W$8</definedName>
    <definedName name="_xlnm._FilterDatabase" localSheetId="15" hidden="1">'D2-new'!$A$8:$AA$8</definedName>
    <definedName name="billrdtotthermal1000" localSheetId="3">#REF!</definedName>
    <definedName name="billrdtotthermal1000" localSheetId="4">#REF!</definedName>
    <definedName name="billrdtotthermal1000" localSheetId="35">#REF!</definedName>
    <definedName name="billrdtotthermal1000" localSheetId="14">#REF!</definedName>
    <definedName name="billrdtotthermal1000" localSheetId="11">#REF!</definedName>
    <definedName name="billrdtotthermal1000" localSheetId="15">#REF!</definedName>
    <definedName name="billrdtotthermal1000">#REF!</definedName>
    <definedName name="billrdtotthermal400" localSheetId="3">#REF!</definedName>
    <definedName name="billrdtotthermal400" localSheetId="4">#REF!</definedName>
    <definedName name="billrdtotthermal400" localSheetId="35">#REF!</definedName>
    <definedName name="billrdtotthermal400" localSheetId="14">#REF!</definedName>
    <definedName name="billrdtotthermal400" localSheetId="11">#REF!</definedName>
    <definedName name="billrdtotthermal400" localSheetId="15">#REF!</definedName>
    <definedName name="billrdtotthermal400">#REF!</definedName>
    <definedName name="billrdtotthermal500" localSheetId="3">#REF!</definedName>
    <definedName name="billrdtotthermal500" localSheetId="4">#REF!</definedName>
    <definedName name="billrdtotthermal500" localSheetId="35">#REF!</definedName>
    <definedName name="billrdtotthermal500" localSheetId="14">#REF!</definedName>
    <definedName name="billrdtotthermal500" localSheetId="11">#REF!</definedName>
    <definedName name="billrdtotthermal500" localSheetId="15">#REF!</definedName>
    <definedName name="billrdtotthermal500">#REF!</definedName>
    <definedName name="billrdtotthermal600" localSheetId="3">#REF!</definedName>
    <definedName name="billrdtotthermal600" localSheetId="4">#REF!</definedName>
    <definedName name="billrdtotthermal600" localSheetId="35">#REF!</definedName>
    <definedName name="billrdtotthermal600" localSheetId="14">#REF!</definedName>
    <definedName name="billrdtotthermal600" localSheetId="11">#REF!</definedName>
    <definedName name="billrdtotthermal600" localSheetId="15">#REF!</definedName>
    <definedName name="billrdtotthermal600">#REF!</definedName>
    <definedName name="billrdtotthermal700" localSheetId="3">#REF!</definedName>
    <definedName name="billrdtotthermal700" localSheetId="4">#REF!</definedName>
    <definedName name="billrdtotthermal700" localSheetId="35">#REF!</definedName>
    <definedName name="billrdtotthermal700" localSheetId="14">#REF!</definedName>
    <definedName name="billrdtotthermal700" localSheetId="11">#REF!</definedName>
    <definedName name="billrdtotthermal700" localSheetId="15">#REF!</definedName>
    <definedName name="billrdtotthermal700">#REF!</definedName>
    <definedName name="billrdtotthermal800" localSheetId="3">#REF!</definedName>
    <definedName name="billrdtotthermal800" localSheetId="4">#REF!</definedName>
    <definedName name="billrdtotthermal800" localSheetId="35">#REF!</definedName>
    <definedName name="billrdtotthermal800" localSheetId="14">#REF!</definedName>
    <definedName name="billrdtotthermal800" localSheetId="11">#REF!</definedName>
    <definedName name="billrdtotthermal800" localSheetId="15">#REF!</definedName>
    <definedName name="billrdtotthermal800">#REF!</definedName>
    <definedName name="billrdtotthermal900" localSheetId="3">#REF!</definedName>
    <definedName name="billrdtotthermal900" localSheetId="4">#REF!</definedName>
    <definedName name="billrdtotthermal900" localSheetId="35">#REF!</definedName>
    <definedName name="billrdtotthermal900" localSheetId="14">#REF!</definedName>
    <definedName name="billrdtotthermal900" localSheetId="11">#REF!</definedName>
    <definedName name="billrdtotthermal900" localSheetId="15">#REF!</definedName>
    <definedName name="billrdtotthermal900">#REF!</definedName>
    <definedName name="billrstothydal1000" localSheetId="3">#REF!</definedName>
    <definedName name="billrstothydal1000" localSheetId="4">#REF!</definedName>
    <definedName name="billrstothydal1000" localSheetId="35">#REF!</definedName>
    <definedName name="billrstothydal1000" localSheetId="14">#REF!</definedName>
    <definedName name="billrstothydal1000" localSheetId="11">#REF!</definedName>
    <definedName name="billrstothydal1000" localSheetId="15">#REF!</definedName>
    <definedName name="billrstothydal1000">#REF!</definedName>
    <definedName name="billrstothydal400" localSheetId="3">#REF!</definedName>
    <definedName name="billrstothydal400" localSheetId="4">#REF!</definedName>
    <definedName name="billrstothydal400" localSheetId="35">#REF!</definedName>
    <definedName name="billrstothydal400" localSheetId="14">#REF!</definedName>
    <definedName name="billrstothydal400" localSheetId="11">#REF!</definedName>
    <definedName name="billrstothydal400" localSheetId="15">#REF!</definedName>
    <definedName name="billrstothydal400">#REF!</definedName>
    <definedName name="billrstothydal500" localSheetId="3">#REF!</definedName>
    <definedName name="billrstothydal500" localSheetId="4">#REF!</definedName>
    <definedName name="billrstothydal500" localSheetId="35">#REF!</definedName>
    <definedName name="billrstothydal500" localSheetId="14">#REF!</definedName>
    <definedName name="billrstothydal500" localSheetId="11">#REF!</definedName>
    <definedName name="billrstothydal500" localSheetId="15">#REF!</definedName>
    <definedName name="billrstothydal500">#REF!</definedName>
    <definedName name="billrstothydal600" localSheetId="3">#REF!</definedName>
    <definedName name="billrstothydal600" localSheetId="4">#REF!</definedName>
    <definedName name="billrstothydal600" localSheetId="35">#REF!</definedName>
    <definedName name="billrstothydal600" localSheetId="14">#REF!</definedName>
    <definedName name="billrstothydal600" localSheetId="11">#REF!</definedName>
    <definedName name="billrstothydal600" localSheetId="15">#REF!</definedName>
    <definedName name="billrstothydal600">#REF!</definedName>
    <definedName name="billrstothydal700" localSheetId="3">#REF!</definedName>
    <definedName name="billrstothydal700" localSheetId="4">#REF!</definedName>
    <definedName name="billrstothydal700" localSheetId="35">#REF!</definedName>
    <definedName name="billrstothydal700" localSheetId="14">#REF!</definedName>
    <definedName name="billrstothydal700" localSheetId="11">#REF!</definedName>
    <definedName name="billrstothydal700" localSheetId="15">#REF!</definedName>
    <definedName name="billrstothydal700">#REF!</definedName>
    <definedName name="billrstothydal800" localSheetId="3">#REF!</definedName>
    <definedName name="billrstothydal800" localSheetId="4">#REF!</definedName>
    <definedName name="billrstothydal800" localSheetId="35">#REF!</definedName>
    <definedName name="billrstothydal800" localSheetId="14">#REF!</definedName>
    <definedName name="billrstothydal800" localSheetId="11">#REF!</definedName>
    <definedName name="billrstothydal800" localSheetId="15">#REF!</definedName>
    <definedName name="billrstothydal800">#REF!</definedName>
    <definedName name="billrstothydal900" localSheetId="3">#REF!</definedName>
    <definedName name="billrstothydal900" localSheetId="4">#REF!</definedName>
    <definedName name="billrstothydal900" localSheetId="35">#REF!</definedName>
    <definedName name="billrstothydal900" localSheetId="14">#REF!</definedName>
    <definedName name="billrstothydal900" localSheetId="11">#REF!</definedName>
    <definedName name="billrstothydal900" localSheetId="15">#REF!</definedName>
    <definedName name="billrstothydal900">#REF!</definedName>
    <definedName name="cbamogha1001" localSheetId="3">#REF!</definedName>
    <definedName name="cbamogha1001" localSheetId="4">#REF!</definedName>
    <definedName name="cbamogha1001" localSheetId="35">#REF!</definedName>
    <definedName name="cbamogha1001" localSheetId="14">#REF!</definedName>
    <definedName name="cbamogha1001" localSheetId="11">#REF!</definedName>
    <definedName name="cbamogha1001" localSheetId="15">#REF!</definedName>
    <definedName name="cbamogha1001">#REF!</definedName>
    <definedName name="cbamogha102" localSheetId="3">#REF!</definedName>
    <definedName name="cbamogha102" localSheetId="4">#REF!</definedName>
    <definedName name="cbamogha102" localSheetId="35">#REF!</definedName>
    <definedName name="cbamogha102" localSheetId="14">#REF!</definedName>
    <definedName name="cbamogha102" localSheetId="11">#REF!</definedName>
    <definedName name="cbamogha102" localSheetId="15">#REF!</definedName>
    <definedName name="cbamogha102">#REF!</definedName>
    <definedName name="cbamogha1101" localSheetId="3">#REF!</definedName>
    <definedName name="cbamogha1101" localSheetId="4">#REF!</definedName>
    <definedName name="cbamogha1101" localSheetId="35">#REF!</definedName>
    <definedName name="cbamogha1101" localSheetId="14">#REF!</definedName>
    <definedName name="cbamogha1101" localSheetId="11">#REF!</definedName>
    <definedName name="cbamogha1101" localSheetId="15">#REF!</definedName>
    <definedName name="cbamogha1101">#REF!</definedName>
    <definedName name="cbamogha1201" localSheetId="3">#REF!</definedName>
    <definedName name="cbamogha1201" localSheetId="4">#REF!</definedName>
    <definedName name="cbamogha1201" localSheetId="35">#REF!</definedName>
    <definedName name="cbamogha1201" localSheetId="14">#REF!</definedName>
    <definedName name="cbamogha1201" localSheetId="11">#REF!</definedName>
    <definedName name="cbamogha1201" localSheetId="15">#REF!</definedName>
    <definedName name="cbamogha1201">#REF!</definedName>
    <definedName name="cbamogha202" localSheetId="3">#REF!</definedName>
    <definedName name="cbamogha202" localSheetId="4">#REF!</definedName>
    <definedName name="cbamogha202" localSheetId="35">#REF!</definedName>
    <definedName name="cbamogha202" localSheetId="14">#REF!</definedName>
    <definedName name="cbamogha202" localSheetId="11">#REF!</definedName>
    <definedName name="cbamogha202" localSheetId="15">#REF!</definedName>
    <definedName name="cbamogha202">#REF!</definedName>
    <definedName name="cbamogha302" localSheetId="3">#REF!</definedName>
    <definedName name="cbamogha302" localSheetId="4">#REF!</definedName>
    <definedName name="cbamogha302" localSheetId="35">#REF!</definedName>
    <definedName name="cbamogha302" localSheetId="14">#REF!</definedName>
    <definedName name="cbamogha302" localSheetId="11">#REF!</definedName>
    <definedName name="cbamogha302" localSheetId="15">#REF!</definedName>
    <definedName name="cbamogha302">#REF!</definedName>
    <definedName name="cbapseb1001" localSheetId="3">#REF!</definedName>
    <definedName name="cbapseb1001" localSheetId="4">#REF!</definedName>
    <definedName name="cbapseb1001" localSheetId="35">#REF!</definedName>
    <definedName name="cbapseb1001" localSheetId="14">#REF!</definedName>
    <definedName name="cbapseb1001" localSheetId="11">#REF!</definedName>
    <definedName name="cbapseb1001" localSheetId="15">#REF!</definedName>
    <definedName name="cbapseb1001">#REF!</definedName>
    <definedName name="cbatriashimsha1001" localSheetId="3">#REF!</definedName>
    <definedName name="cbatriashimsha1001" localSheetId="4">#REF!</definedName>
    <definedName name="cbatriashimsha1001" localSheetId="35">#REF!</definedName>
    <definedName name="cbatriashimsha1001" localSheetId="14">#REF!</definedName>
    <definedName name="cbatriashimsha1001" localSheetId="11">#REF!</definedName>
    <definedName name="cbatriashimsha1001" localSheetId="15">#REF!</definedName>
    <definedName name="cbatriashimsha1001">#REF!</definedName>
    <definedName name="cbatriashiva1001" localSheetId="3">#REF!</definedName>
    <definedName name="cbatriashiva1001" localSheetId="4">#REF!</definedName>
    <definedName name="cbatriashiva1001" localSheetId="35">#REF!</definedName>
    <definedName name="cbatriashiva1001" localSheetId="14">#REF!</definedName>
    <definedName name="cbatriashiva1001" localSheetId="11">#REF!</definedName>
    <definedName name="cbatriashiva1001" localSheetId="15">#REF!</definedName>
    <definedName name="cbatriashiva1001">#REF!</definedName>
    <definedName name="cbatriashiva102" localSheetId="3">#REF!</definedName>
    <definedName name="cbatriashiva102" localSheetId="4">#REF!</definedName>
    <definedName name="cbatriashiva102" localSheetId="35">#REF!</definedName>
    <definedName name="cbatriashiva102" localSheetId="14">#REF!</definedName>
    <definedName name="cbatriashiva102" localSheetId="11">#REF!</definedName>
    <definedName name="cbatriashiva102" localSheetId="15">#REF!</definedName>
    <definedName name="cbatriashiva102">#REF!</definedName>
    <definedName name="cbatriashiva1101" localSheetId="3">#REF!</definedName>
    <definedName name="cbatriashiva1101" localSheetId="4">#REF!</definedName>
    <definedName name="cbatriashiva1101" localSheetId="35">#REF!</definedName>
    <definedName name="cbatriashiva1101" localSheetId="14">#REF!</definedName>
    <definedName name="cbatriashiva1101" localSheetId="11">#REF!</definedName>
    <definedName name="cbatriashiva1101" localSheetId="15">#REF!</definedName>
    <definedName name="cbatriashiva1101">#REF!</definedName>
    <definedName name="cbatriashiva1201" localSheetId="3">#REF!</definedName>
    <definedName name="cbatriashiva1201" localSheetId="4">#REF!</definedName>
    <definedName name="cbatriashiva1201" localSheetId="35">#REF!</definedName>
    <definedName name="cbatriashiva1201" localSheetId="14">#REF!</definedName>
    <definedName name="cbatriashiva1201" localSheetId="11">#REF!</definedName>
    <definedName name="cbatriashiva1201" localSheetId="15">#REF!</definedName>
    <definedName name="cbatriashiva1201">#REF!</definedName>
    <definedName name="cbatriashiva202" localSheetId="3">#REF!</definedName>
    <definedName name="cbatriashiva202" localSheetId="4">#REF!</definedName>
    <definedName name="cbatriashiva202" localSheetId="35">#REF!</definedName>
    <definedName name="cbatriashiva202" localSheetId="14">#REF!</definedName>
    <definedName name="cbatriashiva202" localSheetId="11">#REF!</definedName>
    <definedName name="cbatriashiva202" localSheetId="15">#REF!</definedName>
    <definedName name="cbatriashiva202">#REF!</definedName>
    <definedName name="cbatriashiva302" localSheetId="3">#REF!</definedName>
    <definedName name="cbatriashiva302" localSheetId="4">#REF!</definedName>
    <definedName name="cbatriashiva302" localSheetId="35">#REF!</definedName>
    <definedName name="cbatriashiva302" localSheetId="14">#REF!</definedName>
    <definedName name="cbatriashiva302" localSheetId="11">#REF!</definedName>
    <definedName name="cbatriashiva302" localSheetId="15">#REF!</definedName>
    <definedName name="cbatriashiva302">#REF!</definedName>
    <definedName name="cbatriasmsa102" localSheetId="3">#REF!</definedName>
    <definedName name="cbatriasmsa102" localSheetId="4">#REF!</definedName>
    <definedName name="cbatriasmsa102" localSheetId="35">#REF!</definedName>
    <definedName name="cbatriasmsa102" localSheetId="14">#REF!</definedName>
    <definedName name="cbatriasmsa102" localSheetId="11">#REF!</definedName>
    <definedName name="cbatriasmsa102" localSheetId="15">#REF!</definedName>
    <definedName name="cbatriasmsa102">#REF!</definedName>
    <definedName name="cbatriasmsa1101" localSheetId="3">#REF!</definedName>
    <definedName name="cbatriasmsa1101" localSheetId="4">#REF!</definedName>
    <definedName name="cbatriasmsa1101" localSheetId="35">#REF!</definedName>
    <definedName name="cbatriasmsa1101" localSheetId="14">#REF!</definedName>
    <definedName name="cbatriasmsa1101" localSheetId="11">#REF!</definedName>
    <definedName name="cbatriasmsa1101" localSheetId="15">#REF!</definedName>
    <definedName name="cbatriasmsa1101">#REF!</definedName>
    <definedName name="cbatriasmsa1201" localSheetId="3">#REF!</definedName>
    <definedName name="cbatriasmsa1201" localSheetId="4">#REF!</definedName>
    <definedName name="cbatriasmsa1201" localSheetId="35">#REF!</definedName>
    <definedName name="cbatriasmsa1201" localSheetId="14">#REF!</definedName>
    <definedName name="cbatriasmsa1201" localSheetId="11">#REF!</definedName>
    <definedName name="cbatriasmsa1201" localSheetId="15">#REF!</definedName>
    <definedName name="cbatriasmsa1201">#REF!</definedName>
    <definedName name="cbatriasmsa202" localSheetId="3">#REF!</definedName>
    <definedName name="cbatriasmsa202" localSheetId="4">#REF!</definedName>
    <definedName name="cbatriasmsa202" localSheetId="35">#REF!</definedName>
    <definedName name="cbatriasmsa202" localSheetId="14">#REF!</definedName>
    <definedName name="cbatriasmsa202" localSheetId="11">#REF!</definedName>
    <definedName name="cbatriasmsa202" localSheetId="15">#REF!</definedName>
    <definedName name="cbatriasmsa202">#REF!</definedName>
    <definedName name="cbatriasmsa302" localSheetId="3">#REF!</definedName>
    <definedName name="cbatriasmsa302" localSheetId="4">#REF!</definedName>
    <definedName name="cbatriasmsa302" localSheetId="35">#REF!</definedName>
    <definedName name="cbatriasmsa302" localSheetId="14">#REF!</definedName>
    <definedName name="cbatriasmsa302" localSheetId="11">#REF!</definedName>
    <definedName name="cbatriasmsa302" localSheetId="15">#REF!</definedName>
    <definedName name="cbatriasmsa302">#REF!</definedName>
    <definedName name="cbbasugar1001" localSheetId="3">#REF!</definedName>
    <definedName name="cbbasugar1001" localSheetId="4">#REF!</definedName>
    <definedName name="cbbasugar1001" localSheetId="35">#REF!</definedName>
    <definedName name="cbbasugar1001" localSheetId="14">#REF!</definedName>
    <definedName name="cbbasugar1001" localSheetId="11">#REF!</definedName>
    <definedName name="cbbasugar1001" localSheetId="15">#REF!</definedName>
    <definedName name="cbbasugar1001">#REF!</definedName>
    <definedName name="cbbasugar102" localSheetId="3">#REF!</definedName>
    <definedName name="cbbasugar102" localSheetId="4">#REF!</definedName>
    <definedName name="cbbasugar102" localSheetId="35">#REF!</definedName>
    <definedName name="cbbasugar102" localSheetId="14">#REF!</definedName>
    <definedName name="cbbasugar102" localSheetId="11">#REF!</definedName>
    <definedName name="cbbasugar102" localSheetId="15">#REF!</definedName>
    <definedName name="cbbasugar102">#REF!</definedName>
    <definedName name="cbbasugar1101" localSheetId="3">#REF!</definedName>
    <definedName name="cbbasugar1101" localSheetId="4">#REF!</definedName>
    <definedName name="cbbasugar1101" localSheetId="35">#REF!</definedName>
    <definedName name="cbbasugar1101" localSheetId="14">#REF!</definedName>
    <definedName name="cbbasugar1101" localSheetId="11">#REF!</definedName>
    <definedName name="cbbasugar1101" localSheetId="15">#REF!</definedName>
    <definedName name="cbbasugar1101">#REF!</definedName>
    <definedName name="cbbasugar1201" localSheetId="3">#REF!</definedName>
    <definedName name="cbbasugar1201" localSheetId="4">#REF!</definedName>
    <definedName name="cbbasugar1201" localSheetId="35">#REF!</definedName>
    <definedName name="cbbasugar1201" localSheetId="14">#REF!</definedName>
    <definedName name="cbbasugar1201" localSheetId="11">#REF!</definedName>
    <definedName name="cbbasugar1201" localSheetId="15">#REF!</definedName>
    <definedName name="cbbasugar1201">#REF!</definedName>
    <definedName name="cbbasugar202" localSheetId="3">#REF!</definedName>
    <definedName name="cbbasugar202" localSheetId="4">#REF!</definedName>
    <definedName name="cbbasugar202" localSheetId="35">#REF!</definedName>
    <definedName name="cbbasugar202" localSheetId="14">#REF!</definedName>
    <definedName name="cbbasugar202" localSheetId="11">#REF!</definedName>
    <definedName name="cbbasugar202" localSheetId="15">#REF!</definedName>
    <definedName name="cbbasugar202">#REF!</definedName>
    <definedName name="cbbasugar302" localSheetId="3">#REF!</definedName>
    <definedName name="cbbasugar302" localSheetId="4">#REF!</definedName>
    <definedName name="cbbasugar302" localSheetId="35">#REF!</definedName>
    <definedName name="cbbasugar302" localSheetId="14">#REF!</definedName>
    <definedName name="cbbasugar302" localSheetId="11">#REF!</definedName>
    <definedName name="cbbasugar302" localSheetId="15">#REF!</definedName>
    <definedName name="cbbasugar302">#REF!</definedName>
    <definedName name="cbbhoruka1001" localSheetId="3">#REF!</definedName>
    <definedName name="cbbhoruka1001" localSheetId="4">#REF!</definedName>
    <definedName name="cbbhoruka1001" localSheetId="35">#REF!</definedName>
    <definedName name="cbbhoruka1001" localSheetId="14">#REF!</definedName>
    <definedName name="cbbhoruka1001" localSheetId="11">#REF!</definedName>
    <definedName name="cbbhoruka1001" localSheetId="15">#REF!</definedName>
    <definedName name="cbbhoruka1001">#REF!</definedName>
    <definedName name="cbbhoruka102" localSheetId="3">#REF!</definedName>
    <definedName name="cbbhoruka102" localSheetId="4">#REF!</definedName>
    <definedName name="cbbhoruka102" localSheetId="35">#REF!</definedName>
    <definedName name="cbbhoruka102" localSheetId="14">#REF!</definedName>
    <definedName name="cbbhoruka102" localSheetId="11">#REF!</definedName>
    <definedName name="cbbhoruka102" localSheetId="15">#REF!</definedName>
    <definedName name="cbbhoruka102">#REF!</definedName>
    <definedName name="cbbhoruka1101" localSheetId="3">#REF!</definedName>
    <definedName name="cbbhoruka1101" localSheetId="4">#REF!</definedName>
    <definedName name="cbbhoruka1101" localSheetId="35">#REF!</definedName>
    <definedName name="cbbhoruka1101" localSheetId="14">#REF!</definedName>
    <definedName name="cbbhoruka1101" localSheetId="11">#REF!</definedName>
    <definedName name="cbbhoruka1101" localSheetId="15">#REF!</definedName>
    <definedName name="cbbhoruka1101">#REF!</definedName>
    <definedName name="cbbhoruka1201" localSheetId="3">#REF!</definedName>
    <definedName name="cbbhoruka1201" localSheetId="4">#REF!</definedName>
    <definedName name="cbbhoruka1201" localSheetId="35">#REF!</definedName>
    <definedName name="cbbhoruka1201" localSheetId="14">#REF!</definedName>
    <definedName name="cbbhoruka1201" localSheetId="11">#REF!</definedName>
    <definedName name="cbbhoruka1201" localSheetId="15">#REF!</definedName>
    <definedName name="cbbhoruka1201">#REF!</definedName>
    <definedName name="cbbhoruka202" localSheetId="3">#REF!</definedName>
    <definedName name="cbbhoruka202" localSheetId="4">#REF!</definedName>
    <definedName name="cbbhoruka202" localSheetId="35">#REF!</definedName>
    <definedName name="cbbhoruka202" localSheetId="14">#REF!</definedName>
    <definedName name="cbbhoruka202" localSheetId="11">#REF!</definedName>
    <definedName name="cbbhoruka202" localSheetId="15">#REF!</definedName>
    <definedName name="cbbhoruka202">#REF!</definedName>
    <definedName name="cbbhoruka302" localSheetId="3">#REF!</definedName>
    <definedName name="cbbhoruka302" localSheetId="4">#REF!</definedName>
    <definedName name="cbbhoruka302" localSheetId="35">#REF!</definedName>
    <definedName name="cbbhoruka302" localSheetId="14">#REF!</definedName>
    <definedName name="cbbhoruka302" localSheetId="11">#REF!</definedName>
    <definedName name="cbbhoruka302" localSheetId="15">#REF!</definedName>
    <definedName name="cbbhoruka302">#REF!</definedName>
    <definedName name="cbcepco102" localSheetId="3">#REF!</definedName>
    <definedName name="cbcepco102" localSheetId="4">#REF!</definedName>
    <definedName name="cbcepco102" localSheetId="35">#REF!</definedName>
    <definedName name="cbcepco102" localSheetId="14">#REF!</definedName>
    <definedName name="cbcepco102" localSheetId="11">#REF!</definedName>
    <definedName name="cbcepco102" localSheetId="15">#REF!</definedName>
    <definedName name="cbcepco102">#REF!</definedName>
    <definedName name="cbcepco202" localSheetId="3">#REF!</definedName>
    <definedName name="cbcepco202" localSheetId="4">#REF!</definedName>
    <definedName name="cbcepco202" localSheetId="35">#REF!</definedName>
    <definedName name="cbcepco202" localSheetId="14">#REF!</definedName>
    <definedName name="cbcepco202" localSheetId="11">#REF!</definedName>
    <definedName name="cbcepco202" localSheetId="15">#REF!</definedName>
    <definedName name="cbcepco202">#REF!</definedName>
    <definedName name="cbcepco302" localSheetId="3">#REF!</definedName>
    <definedName name="cbcepco302" localSheetId="4">#REF!</definedName>
    <definedName name="cbcepco302" localSheetId="35">#REF!</definedName>
    <definedName name="cbcepco302" localSheetId="14">#REF!</definedName>
    <definedName name="cbcepco302" localSheetId="11">#REF!</definedName>
    <definedName name="cbcepco302" localSheetId="15">#REF!</definedName>
    <definedName name="cbcepco302">#REF!</definedName>
    <definedName name="cbdandeli1001" localSheetId="3">#REF!</definedName>
    <definedName name="cbdandeli1001" localSheetId="4">#REF!</definedName>
    <definedName name="cbdandeli1001" localSheetId="35">#REF!</definedName>
    <definedName name="cbdandeli1001" localSheetId="14">#REF!</definedName>
    <definedName name="cbdandeli1001" localSheetId="11">#REF!</definedName>
    <definedName name="cbdandeli1001" localSheetId="15">#REF!</definedName>
    <definedName name="cbdandeli1001">#REF!</definedName>
    <definedName name="cbdandeli102" localSheetId="3">#REF!</definedName>
    <definedName name="cbdandeli102" localSheetId="4">#REF!</definedName>
    <definedName name="cbdandeli102" localSheetId="35">#REF!</definedName>
    <definedName name="cbdandeli102" localSheetId="14">#REF!</definedName>
    <definedName name="cbdandeli102" localSheetId="11">#REF!</definedName>
    <definedName name="cbdandeli102" localSheetId="15">#REF!</definedName>
    <definedName name="cbdandeli102">#REF!</definedName>
    <definedName name="cbdandeli1101" localSheetId="3">#REF!</definedName>
    <definedName name="cbdandeli1101" localSheetId="4">#REF!</definedName>
    <definedName name="cbdandeli1101" localSheetId="35">#REF!</definedName>
    <definedName name="cbdandeli1101" localSheetId="14">#REF!</definedName>
    <definedName name="cbdandeli1101" localSheetId="11">#REF!</definedName>
    <definedName name="cbdandeli1101" localSheetId="15">#REF!</definedName>
    <definedName name="cbdandeli1101">#REF!</definedName>
    <definedName name="cbdandeli1201" localSheetId="3">#REF!</definedName>
    <definedName name="cbdandeli1201" localSheetId="4">#REF!</definedName>
    <definedName name="cbdandeli1201" localSheetId="35">#REF!</definedName>
    <definedName name="cbdandeli1201" localSheetId="14">#REF!</definedName>
    <definedName name="cbdandeli1201" localSheetId="11">#REF!</definedName>
    <definedName name="cbdandeli1201" localSheetId="15">#REF!</definedName>
    <definedName name="cbdandeli1201">#REF!</definedName>
    <definedName name="cbdandeli202" localSheetId="3">#REF!</definedName>
    <definedName name="cbdandeli202" localSheetId="4">#REF!</definedName>
    <definedName name="cbdandeli202" localSheetId="35">#REF!</definedName>
    <definedName name="cbdandeli202" localSheetId="14">#REF!</definedName>
    <definedName name="cbdandeli202" localSheetId="11">#REF!</definedName>
    <definedName name="cbdandeli202" localSheetId="15">#REF!</definedName>
    <definedName name="cbdandeli202">#REF!</definedName>
    <definedName name="cbdandeli302" localSheetId="3">#REF!</definedName>
    <definedName name="cbdandeli302" localSheetId="4">#REF!</definedName>
    <definedName name="cbdandeli302" localSheetId="35">#REF!</definedName>
    <definedName name="cbdandeli302" localSheetId="14">#REF!</definedName>
    <definedName name="cbdandeli302" localSheetId="11">#REF!</definedName>
    <definedName name="cbdandeli302" localSheetId="15">#REF!</definedName>
    <definedName name="cbdandeli302">#REF!</definedName>
    <definedName name="cbedcl1001" localSheetId="3">#REF!</definedName>
    <definedName name="cbedcl1001" localSheetId="4">#REF!</definedName>
    <definedName name="cbedcl1001" localSheetId="35">#REF!</definedName>
    <definedName name="cbedcl1001" localSheetId="14">#REF!</definedName>
    <definedName name="cbedcl1001" localSheetId="11">#REF!</definedName>
    <definedName name="cbedcl1001" localSheetId="15">#REF!</definedName>
    <definedName name="cbedcl1001">#REF!</definedName>
    <definedName name="cbedcl102" localSheetId="3">#REF!</definedName>
    <definedName name="cbedcl102" localSheetId="4">#REF!</definedName>
    <definedName name="cbedcl102" localSheetId="35">#REF!</definedName>
    <definedName name="cbedcl102" localSheetId="14">#REF!</definedName>
    <definedName name="cbedcl102" localSheetId="11">#REF!</definedName>
    <definedName name="cbedcl102" localSheetId="15">#REF!</definedName>
    <definedName name="cbedcl102">#REF!</definedName>
    <definedName name="cbedcl1101" localSheetId="3">#REF!</definedName>
    <definedName name="cbedcl1101" localSheetId="4">#REF!</definedName>
    <definedName name="cbedcl1101" localSheetId="35">#REF!</definedName>
    <definedName name="cbedcl1101" localSheetId="14">#REF!</definedName>
    <definedName name="cbedcl1101" localSheetId="11">#REF!</definedName>
    <definedName name="cbedcl1101" localSheetId="15">#REF!</definedName>
    <definedName name="cbedcl1101">#REF!</definedName>
    <definedName name="cbedcl1201" localSheetId="3">#REF!</definedName>
    <definedName name="cbedcl1201" localSheetId="4">#REF!</definedName>
    <definedName name="cbedcl1201" localSheetId="35">#REF!</definedName>
    <definedName name="cbedcl1201" localSheetId="14">#REF!</definedName>
    <definedName name="cbedcl1201" localSheetId="11">#REF!</definedName>
    <definedName name="cbedcl1201" localSheetId="15">#REF!</definedName>
    <definedName name="cbedcl1201">#REF!</definedName>
    <definedName name="cbedcl202" localSheetId="3">#REF!</definedName>
    <definedName name="cbedcl202" localSheetId="4">#REF!</definedName>
    <definedName name="cbedcl202" localSheetId="35">#REF!</definedName>
    <definedName name="cbedcl202" localSheetId="14">#REF!</definedName>
    <definedName name="cbedcl202" localSheetId="11">#REF!</definedName>
    <definedName name="cbedcl202" localSheetId="15">#REF!</definedName>
    <definedName name="cbedcl202">#REF!</definedName>
    <definedName name="cbedcl302" localSheetId="3">#REF!</definedName>
    <definedName name="cbedcl302" localSheetId="4">#REF!</definedName>
    <definedName name="cbedcl302" localSheetId="35">#REF!</definedName>
    <definedName name="cbedcl302" localSheetId="14">#REF!</definedName>
    <definedName name="cbedcl302" localSheetId="11">#REF!</definedName>
    <definedName name="cbedcl302" localSheetId="15">#REF!</definedName>
    <definedName name="cbedcl302">#REF!</definedName>
    <definedName name="cbenercon102" localSheetId="3">#REF!</definedName>
    <definedName name="cbenercon102" localSheetId="4">#REF!</definedName>
    <definedName name="cbenercon102" localSheetId="35">#REF!</definedName>
    <definedName name="cbenercon102" localSheetId="14">#REF!</definedName>
    <definedName name="cbenercon102" localSheetId="11">#REF!</definedName>
    <definedName name="cbenercon102" localSheetId="15">#REF!</definedName>
    <definedName name="cbenercon102">#REF!</definedName>
    <definedName name="cbenercon202" localSheetId="3">#REF!</definedName>
    <definedName name="cbenercon202" localSheetId="4">#REF!</definedName>
    <definedName name="cbenercon202" localSheetId="35">#REF!</definedName>
    <definedName name="cbenercon202" localSheetId="14">#REF!</definedName>
    <definedName name="cbenercon202" localSheetId="11">#REF!</definedName>
    <definedName name="cbenercon202" localSheetId="15">#REF!</definedName>
    <definedName name="cbenercon202">#REF!</definedName>
    <definedName name="cbenercon302" localSheetId="3">#REF!</definedName>
    <definedName name="cbenercon302" localSheetId="4">#REF!</definedName>
    <definedName name="cbenercon302" localSheetId="35">#REF!</definedName>
    <definedName name="cbenercon302" localSheetId="14">#REF!</definedName>
    <definedName name="cbenercon302" localSheetId="11">#REF!</definedName>
    <definedName name="cbenercon302" localSheetId="15">#REF!</definedName>
    <definedName name="cbenercon302">#REF!</definedName>
    <definedName name="cbgridco1001" localSheetId="3">#REF!</definedName>
    <definedName name="cbgridco1001" localSheetId="4">#REF!</definedName>
    <definedName name="cbgridco1001" localSheetId="35">#REF!</definedName>
    <definedName name="cbgridco1001" localSheetId="14">#REF!</definedName>
    <definedName name="cbgridco1001" localSheetId="11">#REF!</definedName>
    <definedName name="cbgridco1001" localSheetId="15">#REF!</definedName>
    <definedName name="cbgridco1001">#REF!</definedName>
    <definedName name="cbgridco102" localSheetId="3">#REF!</definedName>
    <definedName name="cbgridco102" localSheetId="4">#REF!</definedName>
    <definedName name="cbgridco102" localSheetId="35">#REF!</definedName>
    <definedName name="cbgridco102" localSheetId="14">#REF!</definedName>
    <definedName name="cbgridco102" localSheetId="11">#REF!</definedName>
    <definedName name="cbgridco102" localSheetId="15">#REF!</definedName>
    <definedName name="cbgridco102">#REF!</definedName>
    <definedName name="cbgridco1101" localSheetId="3">#REF!</definedName>
    <definedName name="cbgridco1101" localSheetId="4">#REF!</definedName>
    <definedName name="cbgridco1101" localSheetId="35">#REF!</definedName>
    <definedName name="cbgridco1101" localSheetId="14">#REF!</definedName>
    <definedName name="cbgridco1101" localSheetId="11">#REF!</definedName>
    <definedName name="cbgridco1101" localSheetId="15">#REF!</definedName>
    <definedName name="cbgridco1101">#REF!</definedName>
    <definedName name="cbgridco1201" localSheetId="3">#REF!</definedName>
    <definedName name="cbgridco1201" localSheetId="4">#REF!</definedName>
    <definedName name="cbgridco1201" localSheetId="35">#REF!</definedName>
    <definedName name="cbgridco1201" localSheetId="14">#REF!</definedName>
    <definedName name="cbgridco1201" localSheetId="11">#REF!</definedName>
    <definedName name="cbgridco1201" localSheetId="15">#REF!</definedName>
    <definedName name="cbgridco1201">#REF!</definedName>
    <definedName name="cbgridco202" localSheetId="3">#REF!</definedName>
    <definedName name="cbgridco202" localSheetId="4">#REF!</definedName>
    <definedName name="cbgridco202" localSheetId="35">#REF!</definedName>
    <definedName name="cbgridco202" localSheetId="14">#REF!</definedName>
    <definedName name="cbgridco202" localSheetId="11">#REF!</definedName>
    <definedName name="cbgridco202" localSheetId="15">#REF!</definedName>
    <definedName name="cbgridco202">#REF!</definedName>
    <definedName name="cbgridco302" localSheetId="3">#REF!</definedName>
    <definedName name="cbgridco302" localSheetId="4">#REF!</definedName>
    <definedName name="cbgridco302" localSheetId="35">#REF!</definedName>
    <definedName name="cbgridco302" localSheetId="14">#REF!</definedName>
    <definedName name="cbgridco302" localSheetId="11">#REF!</definedName>
    <definedName name="cbgridco302" localSheetId="15">#REF!</definedName>
    <definedName name="cbgridco302">#REF!</definedName>
    <definedName name="cbiclsugar1001" localSheetId="3">#REF!</definedName>
    <definedName name="cbiclsugar1001" localSheetId="4">#REF!</definedName>
    <definedName name="cbiclsugar1001" localSheetId="35">#REF!</definedName>
    <definedName name="cbiclsugar1001" localSheetId="14">#REF!</definedName>
    <definedName name="cbiclsugar1001" localSheetId="11">#REF!</definedName>
    <definedName name="cbiclsugar1001" localSheetId="15">#REF!</definedName>
    <definedName name="cbiclsugar1001">#REF!</definedName>
    <definedName name="cbiclsugar102" localSheetId="3">#REF!</definedName>
    <definedName name="cbiclsugar102" localSheetId="4">#REF!</definedName>
    <definedName name="cbiclsugar102" localSheetId="35">#REF!</definedName>
    <definedName name="cbiclsugar102" localSheetId="14">#REF!</definedName>
    <definedName name="cbiclsugar102" localSheetId="11">#REF!</definedName>
    <definedName name="cbiclsugar102" localSheetId="15">#REF!</definedName>
    <definedName name="cbiclsugar102">#REF!</definedName>
    <definedName name="cbiclsugar1101" localSheetId="3">#REF!</definedName>
    <definedName name="cbiclsugar1101" localSheetId="4">#REF!</definedName>
    <definedName name="cbiclsugar1101" localSheetId="35">#REF!</definedName>
    <definedName name="cbiclsugar1101" localSheetId="14">#REF!</definedName>
    <definedName name="cbiclsugar1101" localSheetId="11">#REF!</definedName>
    <definedName name="cbiclsugar1101" localSheetId="15">#REF!</definedName>
    <definedName name="cbiclsugar1101">#REF!</definedName>
    <definedName name="cbiclsugar1201" localSheetId="3">#REF!</definedName>
    <definedName name="cbiclsugar1201" localSheetId="4">#REF!</definedName>
    <definedName name="cbiclsugar1201" localSheetId="35">#REF!</definedName>
    <definedName name="cbiclsugar1201" localSheetId="14">#REF!</definedName>
    <definedName name="cbiclsugar1201" localSheetId="11">#REF!</definedName>
    <definedName name="cbiclsugar1201" localSheetId="15">#REF!</definedName>
    <definedName name="cbiclsugar1201">#REF!</definedName>
    <definedName name="cbiclsugar202" localSheetId="3">#REF!</definedName>
    <definedName name="cbiclsugar202" localSheetId="4">#REF!</definedName>
    <definedName name="cbiclsugar202" localSheetId="35">#REF!</definedName>
    <definedName name="cbiclsugar202" localSheetId="14">#REF!</definedName>
    <definedName name="cbiclsugar202" localSheetId="11">#REF!</definedName>
    <definedName name="cbiclsugar202" localSheetId="15">#REF!</definedName>
    <definedName name="cbiclsugar202">#REF!</definedName>
    <definedName name="cbiclsugar302" localSheetId="3">#REF!</definedName>
    <definedName name="cbiclsugar302" localSheetId="4">#REF!</definedName>
    <definedName name="cbiclsugar302" localSheetId="35">#REF!</definedName>
    <definedName name="cbiclsugar302" localSheetId="14">#REF!</definedName>
    <definedName name="cbiclsugar302" localSheetId="11">#REF!</definedName>
    <definedName name="cbiclsugar302" localSheetId="15">#REF!</definedName>
    <definedName name="cbiclsugar302">#REF!</definedName>
    <definedName name="cbitpl1001" localSheetId="3">#REF!</definedName>
    <definedName name="cbitpl1001" localSheetId="4">#REF!</definedName>
    <definedName name="cbitpl1001" localSheetId="35">#REF!</definedName>
    <definedName name="cbitpl1001" localSheetId="14">#REF!</definedName>
    <definedName name="cbitpl1001" localSheetId="11">#REF!</definedName>
    <definedName name="cbitpl1001" localSheetId="15">#REF!</definedName>
    <definedName name="cbitpl1001">#REF!</definedName>
    <definedName name="cbitpl102" localSheetId="3">#REF!</definedName>
    <definedName name="cbitpl102" localSheetId="4">#REF!</definedName>
    <definedName name="cbitpl102" localSheetId="35">#REF!</definedName>
    <definedName name="cbitpl102" localSheetId="14">#REF!</definedName>
    <definedName name="cbitpl102" localSheetId="11">#REF!</definedName>
    <definedName name="cbitpl102" localSheetId="15">#REF!</definedName>
    <definedName name="cbitpl102">#REF!</definedName>
    <definedName name="cbitpl1101" localSheetId="3">#REF!</definedName>
    <definedName name="cbitpl1101" localSheetId="4">#REF!</definedName>
    <definedName name="cbitpl1101" localSheetId="35">#REF!</definedName>
    <definedName name="cbitpl1101" localSheetId="14">#REF!</definedName>
    <definedName name="cbitpl1101" localSheetId="11">#REF!</definedName>
    <definedName name="cbitpl1101" localSheetId="15">#REF!</definedName>
    <definedName name="cbitpl1101">#REF!</definedName>
    <definedName name="cbitpl1201" localSheetId="3">#REF!</definedName>
    <definedName name="cbitpl1201" localSheetId="4">#REF!</definedName>
    <definedName name="cbitpl1201" localSheetId="35">#REF!</definedName>
    <definedName name="cbitpl1201" localSheetId="14">#REF!</definedName>
    <definedName name="cbitpl1201" localSheetId="11">#REF!</definedName>
    <definedName name="cbitpl1201" localSheetId="15">#REF!</definedName>
    <definedName name="cbitpl1201">#REF!</definedName>
    <definedName name="cbitpl202" localSheetId="3">#REF!</definedName>
    <definedName name="cbitpl202" localSheetId="4">#REF!</definedName>
    <definedName name="cbitpl202" localSheetId="35">#REF!</definedName>
    <definedName name="cbitpl202" localSheetId="14">#REF!</definedName>
    <definedName name="cbitpl202" localSheetId="11">#REF!</definedName>
    <definedName name="cbitpl202" localSheetId="15">#REF!</definedName>
    <definedName name="cbitpl202">#REF!</definedName>
    <definedName name="cbitpl302" localSheetId="3">#REF!</definedName>
    <definedName name="cbitpl302" localSheetId="4">#REF!</definedName>
    <definedName name="cbitpl302" localSheetId="35">#REF!</definedName>
    <definedName name="cbitpl302" localSheetId="14">#REF!</definedName>
    <definedName name="cbitpl302" localSheetId="11">#REF!</definedName>
    <definedName name="cbitpl302" localSheetId="15">#REF!</definedName>
    <definedName name="cbitpl302">#REF!</definedName>
    <definedName name="cbjtpcl1001" localSheetId="3">#REF!</definedName>
    <definedName name="cbjtpcl1001" localSheetId="4">#REF!</definedName>
    <definedName name="cbjtpcl1001" localSheetId="35">#REF!</definedName>
    <definedName name="cbjtpcl1001" localSheetId="14">#REF!</definedName>
    <definedName name="cbjtpcl1001" localSheetId="11">#REF!</definedName>
    <definedName name="cbjtpcl1001" localSheetId="15">#REF!</definedName>
    <definedName name="cbjtpcl1001">#REF!</definedName>
    <definedName name="cbjtpcl102" localSheetId="3">#REF!</definedName>
    <definedName name="cbjtpcl102" localSheetId="4">#REF!</definedName>
    <definedName name="cbjtpcl102" localSheetId="35">#REF!</definedName>
    <definedName name="cbjtpcl102" localSheetId="14">#REF!</definedName>
    <definedName name="cbjtpcl102" localSheetId="11">#REF!</definedName>
    <definedName name="cbjtpcl102" localSheetId="15">#REF!</definedName>
    <definedName name="cbjtpcl102">#REF!</definedName>
    <definedName name="cbjtpcl1101" localSheetId="3">#REF!</definedName>
    <definedName name="cbjtpcl1101" localSheetId="4">#REF!</definedName>
    <definedName name="cbjtpcl1101" localSheetId="35">#REF!</definedName>
    <definedName name="cbjtpcl1101" localSheetId="14">#REF!</definedName>
    <definedName name="cbjtpcl1101" localSheetId="11">#REF!</definedName>
    <definedName name="cbjtpcl1101" localSheetId="15">#REF!</definedName>
    <definedName name="cbjtpcl1101">#REF!</definedName>
    <definedName name="cbjtpcl1201" localSheetId="3">#REF!</definedName>
    <definedName name="cbjtpcl1201" localSheetId="4">#REF!</definedName>
    <definedName name="cbjtpcl1201" localSheetId="35">#REF!</definedName>
    <definedName name="cbjtpcl1201" localSheetId="14">#REF!</definedName>
    <definedName name="cbjtpcl1201" localSheetId="11">#REF!</definedName>
    <definedName name="cbjtpcl1201" localSheetId="15">#REF!</definedName>
    <definedName name="cbjtpcl1201">#REF!</definedName>
    <definedName name="cbjtpcl202" localSheetId="3">#REF!</definedName>
    <definedName name="cbjtpcl202" localSheetId="4">#REF!</definedName>
    <definedName name="cbjtpcl202" localSheetId="35">#REF!</definedName>
    <definedName name="cbjtpcl202" localSheetId="14">#REF!</definedName>
    <definedName name="cbjtpcl202" localSheetId="11">#REF!</definedName>
    <definedName name="cbjtpcl202" localSheetId="15">#REF!</definedName>
    <definedName name="cbjtpcl202">#REF!</definedName>
    <definedName name="cbjtpcl302" localSheetId="3">#REF!</definedName>
    <definedName name="cbjtpcl302" localSheetId="4">#REF!</definedName>
    <definedName name="cbjtpcl302" localSheetId="35">#REF!</definedName>
    <definedName name="cbjtpcl302" localSheetId="14">#REF!</definedName>
    <definedName name="cbjtpcl302" localSheetId="11">#REF!</definedName>
    <definedName name="cbjtpcl302" localSheetId="15">#REF!</definedName>
    <definedName name="cbjtpcl302">#REF!</definedName>
    <definedName name="cbkaps1001" localSheetId="3">#REF!</definedName>
    <definedName name="cbkaps1001" localSheetId="4">#REF!</definedName>
    <definedName name="cbkaps1001" localSheetId="35">#REF!</definedName>
    <definedName name="cbkaps1001" localSheetId="14">#REF!</definedName>
    <definedName name="cbkaps1001" localSheetId="11">#REF!</definedName>
    <definedName name="cbkaps1001" localSheetId="15">#REF!</definedName>
    <definedName name="cbkaps1001">#REF!</definedName>
    <definedName name="cbkaps102" localSheetId="3">#REF!</definedName>
    <definedName name="cbkaps102" localSheetId="4">#REF!</definedName>
    <definedName name="cbkaps102" localSheetId="35">#REF!</definedName>
    <definedName name="cbkaps102" localSheetId="14">#REF!</definedName>
    <definedName name="cbkaps102" localSheetId="11">#REF!</definedName>
    <definedName name="cbkaps102" localSheetId="15">#REF!</definedName>
    <definedName name="cbkaps102">#REF!</definedName>
    <definedName name="cbkaps1101" localSheetId="3">#REF!</definedName>
    <definedName name="cbkaps1101" localSheetId="4">#REF!</definedName>
    <definedName name="cbkaps1101" localSheetId="35">#REF!</definedName>
    <definedName name="cbkaps1101" localSheetId="14">#REF!</definedName>
    <definedName name="cbkaps1101" localSheetId="11">#REF!</definedName>
    <definedName name="cbkaps1101" localSheetId="15">#REF!</definedName>
    <definedName name="cbkaps1101">#REF!</definedName>
    <definedName name="cbkaps1201" localSheetId="3">#REF!</definedName>
    <definedName name="cbkaps1201" localSheetId="4">#REF!</definedName>
    <definedName name="cbkaps1201" localSheetId="35">#REF!</definedName>
    <definedName name="cbkaps1201" localSheetId="14">#REF!</definedName>
    <definedName name="cbkaps1201" localSheetId="11">#REF!</definedName>
    <definedName name="cbkaps1201" localSheetId="15">#REF!</definedName>
    <definedName name="cbkaps1201">#REF!</definedName>
    <definedName name="cbkaps202" localSheetId="3">#REF!</definedName>
    <definedName name="cbkaps202" localSheetId="4">#REF!</definedName>
    <definedName name="cbkaps202" localSheetId="35">#REF!</definedName>
    <definedName name="cbkaps202" localSheetId="14">#REF!</definedName>
    <definedName name="cbkaps202" localSheetId="11">#REF!</definedName>
    <definedName name="cbkaps202" localSheetId="15">#REF!</definedName>
    <definedName name="cbkaps202">#REF!</definedName>
    <definedName name="cbkaps302" localSheetId="3">#REF!</definedName>
    <definedName name="cbkaps302" localSheetId="4">#REF!</definedName>
    <definedName name="cbkaps302" localSheetId="35">#REF!</definedName>
    <definedName name="cbkaps302" localSheetId="14">#REF!</definedName>
    <definedName name="cbkaps302" localSheetId="11">#REF!</definedName>
    <definedName name="cbkaps302" localSheetId="15">#REF!</definedName>
    <definedName name="cbkaps302">#REF!</definedName>
    <definedName name="cbkaps401" localSheetId="3">#REF!</definedName>
    <definedName name="cbkaps401" localSheetId="4">#REF!</definedName>
    <definedName name="cbkaps401" localSheetId="35">#REF!</definedName>
    <definedName name="cbkaps401" localSheetId="14">#REF!</definedName>
    <definedName name="cbkaps401" localSheetId="11">#REF!</definedName>
    <definedName name="cbkaps401" localSheetId="15">#REF!</definedName>
    <definedName name="cbkaps401">#REF!</definedName>
    <definedName name="cbkaps501" localSheetId="3">#REF!</definedName>
    <definedName name="cbkaps501" localSheetId="4">#REF!</definedName>
    <definedName name="cbkaps501" localSheetId="35">#REF!</definedName>
    <definedName name="cbkaps501" localSheetId="14">#REF!</definedName>
    <definedName name="cbkaps501" localSheetId="11">#REF!</definedName>
    <definedName name="cbkaps501" localSheetId="15">#REF!</definedName>
    <definedName name="cbkaps501">#REF!</definedName>
    <definedName name="cbkaps601" localSheetId="3">#REF!</definedName>
    <definedName name="cbkaps601" localSheetId="4">#REF!</definedName>
    <definedName name="cbkaps601" localSheetId="35">#REF!</definedName>
    <definedName name="cbkaps601" localSheetId="14">#REF!</definedName>
    <definedName name="cbkaps601" localSheetId="11">#REF!</definedName>
    <definedName name="cbkaps601" localSheetId="15">#REF!</definedName>
    <definedName name="cbkaps601">#REF!</definedName>
    <definedName name="cbkaps701" localSheetId="3">#REF!</definedName>
    <definedName name="cbkaps701" localSheetId="4">#REF!</definedName>
    <definedName name="cbkaps701" localSheetId="35">#REF!</definedName>
    <definedName name="cbkaps701" localSheetId="14">#REF!</definedName>
    <definedName name="cbkaps701" localSheetId="11">#REF!</definedName>
    <definedName name="cbkaps701" localSheetId="15">#REF!</definedName>
    <definedName name="cbkaps701">#REF!</definedName>
    <definedName name="cbkaps801" localSheetId="3">#REF!</definedName>
    <definedName name="cbkaps801" localSheetId="4">#REF!</definedName>
    <definedName name="cbkaps801" localSheetId="35">#REF!</definedName>
    <definedName name="cbkaps801" localSheetId="14">#REF!</definedName>
    <definedName name="cbkaps801" localSheetId="11">#REF!</definedName>
    <definedName name="cbkaps801" localSheetId="15">#REF!</definedName>
    <definedName name="cbkaps801">#REF!</definedName>
    <definedName name="cbkaps901" localSheetId="3">#REF!</definedName>
    <definedName name="cbkaps901" localSheetId="4">#REF!</definedName>
    <definedName name="cbkaps901" localSheetId="35">#REF!</definedName>
    <definedName name="cbkaps901" localSheetId="14">#REF!</definedName>
    <definedName name="cbkaps901" localSheetId="11">#REF!</definedName>
    <definedName name="cbkaps901" localSheetId="15">#REF!</definedName>
    <definedName name="cbkaps901">#REF!</definedName>
    <definedName name="cbkpcl1001" localSheetId="3">#REF!</definedName>
    <definedName name="cbkpcl1001" localSheetId="4">#REF!</definedName>
    <definedName name="cbkpcl1001" localSheetId="35">#REF!</definedName>
    <definedName name="cbkpcl1001" localSheetId="14">#REF!</definedName>
    <definedName name="cbkpcl1001" localSheetId="11">#REF!</definedName>
    <definedName name="cbkpcl1001" localSheetId="15">#REF!</definedName>
    <definedName name="cbkpcl1001">#REF!</definedName>
    <definedName name="cbkpcl102" localSheetId="3">#REF!</definedName>
    <definedName name="cbkpcl102" localSheetId="4">#REF!</definedName>
    <definedName name="cbkpcl102" localSheetId="35">#REF!</definedName>
    <definedName name="cbkpcl102" localSheetId="14">#REF!</definedName>
    <definedName name="cbkpcl102" localSheetId="11">#REF!</definedName>
    <definedName name="cbkpcl102" localSheetId="15">#REF!</definedName>
    <definedName name="cbkpcl102">#REF!</definedName>
    <definedName name="cbkpcl1101" localSheetId="3">#REF!</definedName>
    <definedName name="cbkpcl1101" localSheetId="4">#REF!</definedName>
    <definedName name="cbkpcl1101" localSheetId="35">#REF!</definedName>
    <definedName name="cbkpcl1101" localSheetId="14">#REF!</definedName>
    <definedName name="cbkpcl1101" localSheetId="11">#REF!</definedName>
    <definedName name="cbkpcl1101" localSheetId="15">#REF!</definedName>
    <definedName name="cbkpcl1101">#REF!</definedName>
    <definedName name="cbkpcl1201" localSheetId="3">#REF!</definedName>
    <definedName name="cbkpcl1201" localSheetId="4">#REF!</definedName>
    <definedName name="cbkpcl1201" localSheetId="35">#REF!</definedName>
    <definedName name="cbkpcl1201" localSheetId="14">#REF!</definedName>
    <definedName name="cbkpcl1201" localSheetId="11">#REF!</definedName>
    <definedName name="cbkpcl1201" localSheetId="15">#REF!</definedName>
    <definedName name="cbkpcl1201">#REF!</definedName>
    <definedName name="cbkpcl202" localSheetId="3">#REF!</definedName>
    <definedName name="cbkpcl202" localSheetId="4">#REF!</definedName>
    <definedName name="cbkpcl202" localSheetId="35">#REF!</definedName>
    <definedName name="cbkpcl202" localSheetId="14">#REF!</definedName>
    <definedName name="cbkpcl202" localSheetId="11">#REF!</definedName>
    <definedName name="cbkpcl202" localSheetId="15">#REF!</definedName>
    <definedName name="cbkpcl202">#REF!</definedName>
    <definedName name="cbkpcl302" localSheetId="3">#REF!</definedName>
    <definedName name="cbkpcl302" localSheetId="4">#REF!</definedName>
    <definedName name="cbkpcl302" localSheetId="35">#REF!</definedName>
    <definedName name="cbkpcl302" localSheetId="14">#REF!</definedName>
    <definedName name="cbkpcl302" localSheetId="11">#REF!</definedName>
    <definedName name="cbkpcl302" localSheetId="15">#REF!</definedName>
    <definedName name="cbkpcl302">#REF!</definedName>
    <definedName name="cbkpcl401" localSheetId="3">#REF!</definedName>
    <definedName name="cbkpcl401" localSheetId="4">#REF!</definedName>
    <definedName name="cbkpcl401" localSheetId="35">#REF!</definedName>
    <definedName name="cbkpcl401" localSheetId="14">#REF!</definedName>
    <definedName name="cbkpcl401" localSheetId="11">#REF!</definedName>
    <definedName name="cbkpcl401" localSheetId="15">#REF!</definedName>
    <definedName name="cbkpcl401">#REF!</definedName>
    <definedName name="cbkpcl501" localSheetId="3">#REF!</definedName>
    <definedName name="cbkpcl501" localSheetId="4">#REF!</definedName>
    <definedName name="cbkpcl501" localSheetId="35">#REF!</definedName>
    <definedName name="cbkpcl501" localSheetId="14">#REF!</definedName>
    <definedName name="cbkpcl501" localSheetId="11">#REF!</definedName>
    <definedName name="cbkpcl501" localSheetId="15">#REF!</definedName>
    <definedName name="cbkpcl501">#REF!</definedName>
    <definedName name="cbkpcl601" localSheetId="3">#REF!</definedName>
    <definedName name="cbkpcl601" localSheetId="4">#REF!</definedName>
    <definedName name="cbkpcl601" localSheetId="35">#REF!</definedName>
    <definedName name="cbkpcl601" localSheetId="14">#REF!</definedName>
    <definedName name="cbkpcl601" localSheetId="11">#REF!</definedName>
    <definedName name="cbkpcl601" localSheetId="15">#REF!</definedName>
    <definedName name="cbkpcl601">#REF!</definedName>
    <definedName name="cbkpcl701" localSheetId="3">#REF!</definedName>
    <definedName name="cbkpcl701" localSheetId="4">#REF!</definedName>
    <definedName name="cbkpcl701" localSheetId="35">#REF!</definedName>
    <definedName name="cbkpcl701" localSheetId="14">#REF!</definedName>
    <definedName name="cbkpcl701" localSheetId="11">#REF!</definedName>
    <definedName name="cbkpcl701" localSheetId="15">#REF!</definedName>
    <definedName name="cbkpcl701">#REF!</definedName>
    <definedName name="cbkpcl801" localSheetId="3">#REF!</definedName>
    <definedName name="cbkpcl801" localSheetId="4">#REF!</definedName>
    <definedName name="cbkpcl801" localSheetId="35">#REF!</definedName>
    <definedName name="cbkpcl801" localSheetId="14">#REF!</definedName>
    <definedName name="cbkpcl801" localSheetId="11">#REF!</definedName>
    <definedName name="cbkpcl801" localSheetId="15">#REF!</definedName>
    <definedName name="cbkpcl801">#REF!</definedName>
    <definedName name="cbkpcl901" localSheetId="3">#REF!</definedName>
    <definedName name="cbkpcl901" localSheetId="4">#REF!</definedName>
    <definedName name="cbkpcl901" localSheetId="35">#REF!</definedName>
    <definedName name="cbkpcl901" localSheetId="14">#REF!</definedName>
    <definedName name="cbkpcl901" localSheetId="11">#REF!</definedName>
    <definedName name="cbkpcl901" localSheetId="15">#REF!</definedName>
    <definedName name="cbkpcl901">#REF!</definedName>
    <definedName name="cbmalavalli1001" localSheetId="3">#REF!</definedName>
    <definedName name="cbmalavalli1001" localSheetId="4">#REF!</definedName>
    <definedName name="cbmalavalli1001" localSheetId="35">#REF!</definedName>
    <definedName name="cbmalavalli1001" localSheetId="14">#REF!</definedName>
    <definedName name="cbmalavalli1001" localSheetId="11">#REF!</definedName>
    <definedName name="cbmalavalli1001" localSheetId="15">#REF!</definedName>
    <definedName name="cbmalavalli1001">#REF!</definedName>
    <definedName name="cbmalavalli102" localSheetId="3">#REF!</definedName>
    <definedName name="cbmalavalli102" localSheetId="4">#REF!</definedName>
    <definedName name="cbmalavalli102" localSheetId="35">#REF!</definedName>
    <definedName name="cbmalavalli102" localSheetId="14">#REF!</definedName>
    <definedName name="cbmalavalli102" localSheetId="11">#REF!</definedName>
    <definedName name="cbmalavalli102" localSheetId="15">#REF!</definedName>
    <definedName name="cbmalavalli102">#REF!</definedName>
    <definedName name="cbmalavalli1101" localSheetId="3">#REF!</definedName>
    <definedName name="cbmalavalli1101" localSheetId="4">#REF!</definedName>
    <definedName name="cbmalavalli1101" localSheetId="35">#REF!</definedName>
    <definedName name="cbmalavalli1101" localSheetId="14">#REF!</definedName>
    <definedName name="cbmalavalli1101" localSheetId="11">#REF!</definedName>
    <definedName name="cbmalavalli1101" localSheetId="15">#REF!</definedName>
    <definedName name="cbmalavalli1101">#REF!</definedName>
    <definedName name="cbmalavalli1201" localSheetId="3">#REF!</definedName>
    <definedName name="cbmalavalli1201" localSheetId="4">#REF!</definedName>
    <definedName name="cbmalavalli1201" localSheetId="35">#REF!</definedName>
    <definedName name="cbmalavalli1201" localSheetId="14">#REF!</definedName>
    <definedName name="cbmalavalli1201" localSheetId="11">#REF!</definedName>
    <definedName name="cbmalavalli1201" localSheetId="15">#REF!</definedName>
    <definedName name="cbmalavalli1201">#REF!</definedName>
    <definedName name="cbmalavalli202" localSheetId="3">#REF!</definedName>
    <definedName name="cbmalavalli202" localSheetId="4">#REF!</definedName>
    <definedName name="cbmalavalli202" localSheetId="35">#REF!</definedName>
    <definedName name="cbmalavalli202" localSheetId="14">#REF!</definedName>
    <definedName name="cbmalavalli202" localSheetId="11">#REF!</definedName>
    <definedName name="cbmalavalli202" localSheetId="15">#REF!</definedName>
    <definedName name="cbmalavalli202">#REF!</definedName>
    <definedName name="cbmalavalli302" localSheetId="3">#REF!</definedName>
    <definedName name="cbmalavalli302" localSheetId="4">#REF!</definedName>
    <definedName name="cbmalavalli302" localSheetId="35">#REF!</definedName>
    <definedName name="cbmalavalli302" localSheetId="14">#REF!</definedName>
    <definedName name="cbmalavalli302" localSheetId="11">#REF!</definedName>
    <definedName name="cbmalavalli302" localSheetId="15">#REF!</definedName>
    <definedName name="cbmalavalli302">#REF!</definedName>
    <definedName name="cbmaps1001" localSheetId="3">#REF!</definedName>
    <definedName name="cbmaps1001" localSheetId="4">#REF!</definedName>
    <definedName name="cbmaps1001" localSheetId="35">#REF!</definedName>
    <definedName name="cbmaps1001" localSheetId="14">#REF!</definedName>
    <definedName name="cbmaps1001" localSheetId="11">#REF!</definedName>
    <definedName name="cbmaps1001" localSheetId="15">#REF!</definedName>
    <definedName name="cbmaps1001">#REF!</definedName>
    <definedName name="cbmaps102" localSheetId="3">#REF!</definedName>
    <definedName name="cbmaps102" localSheetId="4">#REF!</definedName>
    <definedName name="cbmaps102" localSheetId="35">#REF!</definedName>
    <definedName name="cbmaps102" localSheetId="14">#REF!</definedName>
    <definedName name="cbmaps102" localSheetId="11">#REF!</definedName>
    <definedName name="cbmaps102" localSheetId="15">#REF!</definedName>
    <definedName name="cbmaps102">#REF!</definedName>
    <definedName name="cbmaps1101" localSheetId="3">#REF!</definedName>
    <definedName name="cbmaps1101" localSheetId="4">#REF!</definedName>
    <definedName name="cbmaps1101" localSheetId="35">#REF!</definedName>
    <definedName name="cbmaps1101" localSheetId="14">#REF!</definedName>
    <definedName name="cbmaps1101" localSheetId="11">#REF!</definedName>
    <definedName name="cbmaps1101" localSheetId="15">#REF!</definedName>
    <definedName name="cbmaps1101">#REF!</definedName>
    <definedName name="cbmaps1201" localSheetId="3">#REF!</definedName>
    <definedName name="cbmaps1201" localSheetId="4">#REF!</definedName>
    <definedName name="cbmaps1201" localSheetId="35">#REF!</definedName>
    <definedName name="cbmaps1201" localSheetId="14">#REF!</definedName>
    <definedName name="cbmaps1201" localSheetId="11">#REF!</definedName>
    <definedName name="cbmaps1201" localSheetId="15">#REF!</definedName>
    <definedName name="cbmaps1201">#REF!</definedName>
    <definedName name="cbmaps202" localSheetId="3">#REF!</definedName>
    <definedName name="cbmaps202" localSheetId="4">#REF!</definedName>
    <definedName name="cbmaps202" localSheetId="35">#REF!</definedName>
    <definedName name="cbmaps202" localSheetId="14">#REF!</definedName>
    <definedName name="cbmaps202" localSheetId="11">#REF!</definedName>
    <definedName name="cbmaps202" localSheetId="15">#REF!</definedName>
    <definedName name="cbmaps202">#REF!</definedName>
    <definedName name="cbmaps302" localSheetId="3">#REF!</definedName>
    <definedName name="cbmaps302" localSheetId="4">#REF!</definedName>
    <definedName name="cbmaps302" localSheetId="35">#REF!</definedName>
    <definedName name="cbmaps302" localSheetId="14">#REF!</definedName>
    <definedName name="cbmaps302" localSheetId="11">#REF!</definedName>
    <definedName name="cbmaps302" localSheetId="15">#REF!</definedName>
    <definedName name="cbmaps302">#REF!</definedName>
    <definedName name="cbmaps401" localSheetId="3">#REF!</definedName>
    <definedName name="cbmaps401" localSheetId="4">#REF!</definedName>
    <definedName name="cbmaps401" localSheetId="35">#REF!</definedName>
    <definedName name="cbmaps401" localSheetId="14">#REF!</definedName>
    <definedName name="cbmaps401" localSheetId="11">#REF!</definedName>
    <definedName name="cbmaps401" localSheetId="15">#REF!</definedName>
    <definedName name="cbmaps401">#REF!</definedName>
    <definedName name="cbmaps501" localSheetId="3">#REF!</definedName>
    <definedName name="cbmaps501" localSheetId="4">#REF!</definedName>
    <definedName name="cbmaps501" localSheetId="35">#REF!</definedName>
    <definedName name="cbmaps501" localSheetId="14">#REF!</definedName>
    <definedName name="cbmaps501" localSheetId="11">#REF!</definedName>
    <definedName name="cbmaps501" localSheetId="15">#REF!</definedName>
    <definedName name="cbmaps501">#REF!</definedName>
    <definedName name="cbmaps601" localSheetId="3">#REF!</definedName>
    <definedName name="cbmaps601" localSheetId="4">#REF!</definedName>
    <definedName name="cbmaps601" localSheetId="35">#REF!</definedName>
    <definedName name="cbmaps601" localSheetId="14">#REF!</definedName>
    <definedName name="cbmaps601" localSheetId="11">#REF!</definedName>
    <definedName name="cbmaps601" localSheetId="15">#REF!</definedName>
    <definedName name="cbmaps601">#REF!</definedName>
    <definedName name="cbmaps701" localSheetId="3">#REF!</definedName>
    <definedName name="cbmaps701" localSheetId="4">#REF!</definedName>
    <definedName name="cbmaps701" localSheetId="35">#REF!</definedName>
    <definedName name="cbmaps701" localSheetId="14">#REF!</definedName>
    <definedName name="cbmaps701" localSheetId="11">#REF!</definedName>
    <definedName name="cbmaps701" localSheetId="15">#REF!</definedName>
    <definedName name="cbmaps701">#REF!</definedName>
    <definedName name="cbmaps801" localSheetId="3">#REF!</definedName>
    <definedName name="cbmaps801" localSheetId="4">#REF!</definedName>
    <definedName name="cbmaps801" localSheetId="35">#REF!</definedName>
    <definedName name="cbmaps801" localSheetId="14">#REF!</definedName>
    <definedName name="cbmaps801" localSheetId="11">#REF!</definedName>
    <definedName name="cbmaps801" localSheetId="15">#REF!</definedName>
    <definedName name="cbmaps801">#REF!</definedName>
    <definedName name="cbmaps901" localSheetId="3">#REF!</definedName>
    <definedName name="cbmaps901" localSheetId="4">#REF!</definedName>
    <definedName name="cbmaps901" localSheetId="35">#REF!</definedName>
    <definedName name="cbmaps901" localSheetId="14">#REF!</definedName>
    <definedName name="cbmaps901" localSheetId="11">#REF!</definedName>
    <definedName name="cbmaps901" localSheetId="15">#REF!</definedName>
    <definedName name="cbmaps901">#REF!</definedName>
    <definedName name="cbmurd1001" localSheetId="3">#REF!</definedName>
    <definedName name="cbmurd1001" localSheetId="4">#REF!</definedName>
    <definedName name="cbmurd1001" localSheetId="35">#REF!</definedName>
    <definedName name="cbmurd1001" localSheetId="14">#REF!</definedName>
    <definedName name="cbmurd1001" localSheetId="11">#REF!</definedName>
    <definedName name="cbmurd1001" localSheetId="15">#REF!</definedName>
    <definedName name="cbmurd1001">#REF!</definedName>
    <definedName name="cbmurd102" localSheetId="3">#REF!</definedName>
    <definedName name="cbmurd102" localSheetId="4">#REF!</definedName>
    <definedName name="cbmurd102" localSheetId="35">#REF!</definedName>
    <definedName name="cbmurd102" localSheetId="14">#REF!</definedName>
    <definedName name="cbmurd102" localSheetId="11">#REF!</definedName>
    <definedName name="cbmurd102" localSheetId="15">#REF!</definedName>
    <definedName name="cbmurd102">#REF!</definedName>
    <definedName name="cbmurd1101" localSheetId="3">#REF!</definedName>
    <definedName name="cbmurd1101" localSheetId="4">#REF!</definedName>
    <definedName name="cbmurd1101" localSheetId="35">#REF!</definedName>
    <definedName name="cbmurd1101" localSheetId="14">#REF!</definedName>
    <definedName name="cbmurd1101" localSheetId="11">#REF!</definedName>
    <definedName name="cbmurd1101" localSheetId="15">#REF!</definedName>
    <definedName name="cbmurd1101">#REF!</definedName>
    <definedName name="cbmurd1201" localSheetId="3">#REF!</definedName>
    <definedName name="cbmurd1201" localSheetId="4">#REF!</definedName>
    <definedName name="cbmurd1201" localSheetId="35">#REF!</definedName>
    <definedName name="cbmurd1201" localSheetId="14">#REF!</definedName>
    <definedName name="cbmurd1201" localSheetId="11">#REF!</definedName>
    <definedName name="cbmurd1201" localSheetId="15">#REF!</definedName>
    <definedName name="cbmurd1201">#REF!</definedName>
    <definedName name="cbmurd202" localSheetId="3">#REF!</definedName>
    <definedName name="cbmurd202" localSheetId="4">#REF!</definedName>
    <definedName name="cbmurd202" localSheetId="35">#REF!</definedName>
    <definedName name="cbmurd202" localSheetId="14">#REF!</definedName>
    <definedName name="cbmurd202" localSheetId="11">#REF!</definedName>
    <definedName name="cbmurd202" localSheetId="15">#REF!</definedName>
    <definedName name="cbmurd202">#REF!</definedName>
    <definedName name="cbmurd302" localSheetId="3">#REF!</definedName>
    <definedName name="cbmurd302" localSheetId="4">#REF!</definedName>
    <definedName name="cbmurd302" localSheetId="35">#REF!</definedName>
    <definedName name="cbmurd302" localSheetId="14">#REF!</definedName>
    <definedName name="cbmurd302" localSheetId="11">#REF!</definedName>
    <definedName name="cbmurd302" localSheetId="15">#REF!</definedName>
    <definedName name="cbmurd302">#REF!</definedName>
    <definedName name="cbnjvdu1001" localSheetId="3">#REF!</definedName>
    <definedName name="cbnjvdu1001" localSheetId="4">#REF!</definedName>
    <definedName name="cbnjvdu1001" localSheetId="35">#REF!</definedName>
    <definedName name="cbnjvdu1001" localSheetId="14">#REF!</definedName>
    <definedName name="cbnjvdu1001" localSheetId="11">#REF!</definedName>
    <definedName name="cbnjvdu1001" localSheetId="15">#REF!</definedName>
    <definedName name="cbnjvdu1001">#REF!</definedName>
    <definedName name="cbnjvdu102" localSheetId="3">#REF!</definedName>
    <definedName name="cbnjvdu102" localSheetId="4">#REF!</definedName>
    <definedName name="cbnjvdu102" localSheetId="35">#REF!</definedName>
    <definedName name="cbnjvdu102" localSheetId="14">#REF!</definedName>
    <definedName name="cbnjvdu102" localSheetId="11">#REF!</definedName>
    <definedName name="cbnjvdu102" localSheetId="15">#REF!</definedName>
    <definedName name="cbnjvdu102">#REF!</definedName>
    <definedName name="cbnjvdu1101" localSheetId="3">#REF!</definedName>
    <definedName name="cbnjvdu1101" localSheetId="4">#REF!</definedName>
    <definedName name="cbnjvdu1101" localSheetId="35">#REF!</definedName>
    <definedName name="cbnjvdu1101" localSheetId="14">#REF!</definedName>
    <definedName name="cbnjvdu1101" localSheetId="11">#REF!</definedName>
    <definedName name="cbnjvdu1101" localSheetId="15">#REF!</definedName>
    <definedName name="cbnjvdu1101">#REF!</definedName>
    <definedName name="cbnjvdu1201" localSheetId="3">#REF!</definedName>
    <definedName name="cbnjvdu1201" localSheetId="4">#REF!</definedName>
    <definedName name="cbnjvdu1201" localSheetId="35">#REF!</definedName>
    <definedName name="cbnjvdu1201" localSheetId="14">#REF!</definedName>
    <definedName name="cbnjvdu1201" localSheetId="11">#REF!</definedName>
    <definedName name="cbnjvdu1201" localSheetId="15">#REF!</definedName>
    <definedName name="cbnjvdu1201">#REF!</definedName>
    <definedName name="cbnjvdu202" localSheetId="3">#REF!</definedName>
    <definedName name="cbnjvdu202" localSheetId="4">#REF!</definedName>
    <definedName name="cbnjvdu202" localSheetId="35">#REF!</definedName>
    <definedName name="cbnjvdu202" localSheetId="14">#REF!</definedName>
    <definedName name="cbnjvdu202" localSheetId="11">#REF!</definedName>
    <definedName name="cbnjvdu202" localSheetId="15">#REF!</definedName>
    <definedName name="cbnjvdu202">#REF!</definedName>
    <definedName name="cbnjvdu302" localSheetId="3">#REF!</definedName>
    <definedName name="cbnjvdu302" localSheetId="4">#REF!</definedName>
    <definedName name="cbnjvdu302" localSheetId="35">#REF!</definedName>
    <definedName name="cbnjvdu302" localSheetId="14">#REF!</definedName>
    <definedName name="cbnjvdu302" localSheetId="11">#REF!</definedName>
    <definedName name="cbnjvdu302" localSheetId="15">#REF!</definedName>
    <definedName name="cbnjvdu302">#REF!</definedName>
    <definedName name="cbnlc1001" localSheetId="3">#REF!</definedName>
    <definedName name="cbnlc1001" localSheetId="4">#REF!</definedName>
    <definedName name="cbnlc1001" localSheetId="35">#REF!</definedName>
    <definedName name="cbnlc1001" localSheetId="14">#REF!</definedName>
    <definedName name="cbnlc1001" localSheetId="11">#REF!</definedName>
    <definedName name="cbnlc1001" localSheetId="15">#REF!</definedName>
    <definedName name="cbnlc1001">#REF!</definedName>
    <definedName name="cbnlc102" localSheetId="3">#REF!</definedName>
    <definedName name="cbnlc102" localSheetId="4">#REF!</definedName>
    <definedName name="cbnlc102" localSheetId="35">#REF!</definedName>
    <definedName name="cbnlc102" localSheetId="14">#REF!</definedName>
    <definedName name="cbnlc102" localSheetId="11">#REF!</definedName>
    <definedName name="cbnlc102" localSheetId="15">#REF!</definedName>
    <definedName name="cbnlc102">#REF!</definedName>
    <definedName name="cbnlc1101" localSheetId="3">#REF!</definedName>
    <definedName name="cbnlc1101" localSheetId="4">#REF!</definedName>
    <definedName name="cbnlc1101" localSheetId="35">#REF!</definedName>
    <definedName name="cbnlc1101" localSheetId="14">#REF!</definedName>
    <definedName name="cbnlc1101" localSheetId="11">#REF!</definedName>
    <definedName name="cbnlc1101" localSheetId="15">#REF!</definedName>
    <definedName name="cbnlc1101">#REF!</definedName>
    <definedName name="cbnlc1201" localSheetId="3">#REF!</definedName>
    <definedName name="cbnlc1201" localSheetId="4">#REF!</definedName>
    <definedName name="cbnlc1201" localSheetId="35">#REF!</definedName>
    <definedName name="cbnlc1201" localSheetId="14">#REF!</definedName>
    <definedName name="cbnlc1201" localSheetId="11">#REF!</definedName>
    <definedName name="cbnlc1201" localSheetId="15">#REF!</definedName>
    <definedName name="cbnlc1201">#REF!</definedName>
    <definedName name="cbnlc202" localSheetId="3">#REF!</definedName>
    <definedName name="cbnlc202" localSheetId="4">#REF!</definedName>
    <definedName name="cbnlc202" localSheetId="35">#REF!</definedName>
    <definedName name="cbnlc202" localSheetId="14">#REF!</definedName>
    <definedName name="cbnlc202" localSheetId="11">#REF!</definedName>
    <definedName name="cbnlc202" localSheetId="15">#REF!</definedName>
    <definedName name="cbnlc202">#REF!</definedName>
    <definedName name="cbnlc302" localSheetId="3">#REF!</definedName>
    <definedName name="cbnlc302" localSheetId="4">#REF!</definedName>
    <definedName name="cbnlc302" localSheetId="35">#REF!</definedName>
    <definedName name="cbnlc302" localSheetId="14">#REF!</definedName>
    <definedName name="cbnlc302" localSheetId="11">#REF!</definedName>
    <definedName name="cbnlc302" localSheetId="15">#REF!</definedName>
    <definedName name="cbnlc302">#REF!</definedName>
    <definedName name="cbnlc401" localSheetId="3">#REF!</definedName>
    <definedName name="cbnlc401" localSheetId="4">#REF!</definedName>
    <definedName name="cbnlc401" localSheetId="35">#REF!</definedName>
    <definedName name="cbnlc401" localSheetId="14">#REF!</definedName>
    <definedName name="cbnlc401" localSheetId="11">#REF!</definedName>
    <definedName name="cbnlc401" localSheetId="15">#REF!</definedName>
    <definedName name="cbnlc401">#REF!</definedName>
    <definedName name="cbnlc501" localSheetId="3">#REF!</definedName>
    <definedName name="cbnlc501" localSheetId="4">#REF!</definedName>
    <definedName name="cbnlc501" localSheetId="35">#REF!</definedName>
    <definedName name="cbnlc501" localSheetId="14">#REF!</definedName>
    <definedName name="cbnlc501" localSheetId="11">#REF!</definedName>
    <definedName name="cbnlc501" localSheetId="15">#REF!</definedName>
    <definedName name="cbnlc501">#REF!</definedName>
    <definedName name="cbnlc601" localSheetId="3">#REF!</definedName>
    <definedName name="cbnlc601" localSheetId="4">#REF!</definedName>
    <definedName name="cbnlc601" localSheetId="35">#REF!</definedName>
    <definedName name="cbnlc601" localSheetId="14">#REF!</definedName>
    <definedName name="cbnlc601" localSheetId="11">#REF!</definedName>
    <definedName name="cbnlc601" localSheetId="15">#REF!</definedName>
    <definedName name="cbnlc601">#REF!</definedName>
    <definedName name="cbnlc701" localSheetId="3">#REF!</definedName>
    <definedName name="cbnlc701" localSheetId="4">#REF!</definedName>
    <definedName name="cbnlc701" localSheetId="35">#REF!</definedName>
    <definedName name="cbnlc701" localSheetId="14">#REF!</definedName>
    <definedName name="cbnlc701" localSheetId="11">#REF!</definedName>
    <definedName name="cbnlc701" localSheetId="15">#REF!</definedName>
    <definedName name="cbnlc701">#REF!</definedName>
    <definedName name="cbnlc801" localSheetId="3">#REF!</definedName>
    <definedName name="cbnlc801" localSheetId="4">#REF!</definedName>
    <definedName name="cbnlc801" localSheetId="35">#REF!</definedName>
    <definedName name="cbnlc801" localSheetId="14">#REF!</definedName>
    <definedName name="cbnlc801" localSheetId="11">#REF!</definedName>
    <definedName name="cbnlc801" localSheetId="15">#REF!</definedName>
    <definedName name="cbnlc801">#REF!</definedName>
    <definedName name="cbnlc901" localSheetId="3">#REF!</definedName>
    <definedName name="cbnlc901" localSheetId="4">#REF!</definedName>
    <definedName name="cbnlc901" localSheetId="35">#REF!</definedName>
    <definedName name="cbnlc901" localSheetId="14">#REF!</definedName>
    <definedName name="cbnlc901" localSheetId="11">#REF!</definedName>
    <definedName name="cbnlc901" localSheetId="15">#REF!</definedName>
    <definedName name="cbnlc901">#REF!</definedName>
    <definedName name="cbntpcer1001" localSheetId="3">#REF!</definedName>
    <definedName name="cbntpcer1001" localSheetId="4">#REF!</definedName>
    <definedName name="cbntpcer1001" localSheetId="35">#REF!</definedName>
    <definedName name="cbntpcer1001" localSheetId="14">#REF!</definedName>
    <definedName name="cbntpcer1001" localSheetId="11">#REF!</definedName>
    <definedName name="cbntpcer1001" localSheetId="15">#REF!</definedName>
    <definedName name="cbntpcer1001">#REF!</definedName>
    <definedName name="cbntpcer102" localSheetId="3">#REF!</definedName>
    <definedName name="cbntpcer102" localSheetId="4">#REF!</definedName>
    <definedName name="cbntpcer102" localSheetId="35">#REF!</definedName>
    <definedName name="cbntpcer102" localSheetId="14">#REF!</definedName>
    <definedName name="cbntpcer102" localSheetId="11">#REF!</definedName>
    <definedName name="cbntpcer102" localSheetId="15">#REF!</definedName>
    <definedName name="cbntpcer102">#REF!</definedName>
    <definedName name="cbntpcer1101" localSheetId="3">#REF!</definedName>
    <definedName name="cbntpcer1101" localSheetId="4">#REF!</definedName>
    <definedName name="cbntpcer1101" localSheetId="35">#REF!</definedName>
    <definedName name="cbntpcer1101" localSheetId="14">#REF!</definedName>
    <definedName name="cbntpcer1101" localSheetId="11">#REF!</definedName>
    <definedName name="cbntpcer1101" localSheetId="15">#REF!</definedName>
    <definedName name="cbntpcer1101">#REF!</definedName>
    <definedName name="cbntpcer1201" localSheetId="3">#REF!</definedName>
    <definedName name="cbntpcer1201" localSheetId="4">#REF!</definedName>
    <definedName name="cbntpcer1201" localSheetId="35">#REF!</definedName>
    <definedName name="cbntpcer1201" localSheetId="14">#REF!</definedName>
    <definedName name="cbntpcer1201" localSheetId="11">#REF!</definedName>
    <definedName name="cbntpcer1201" localSheetId="15">#REF!</definedName>
    <definedName name="cbntpcer1201">#REF!</definedName>
    <definedName name="cbntpcer202" localSheetId="3">#REF!</definedName>
    <definedName name="cbntpcer202" localSheetId="4">#REF!</definedName>
    <definedName name="cbntpcer202" localSheetId="35">#REF!</definedName>
    <definedName name="cbntpcer202" localSheetId="14">#REF!</definedName>
    <definedName name="cbntpcer202" localSheetId="11">#REF!</definedName>
    <definedName name="cbntpcer202" localSheetId="15">#REF!</definedName>
    <definedName name="cbntpcer202">#REF!</definedName>
    <definedName name="cbntpcer302" localSheetId="3">#REF!</definedName>
    <definedName name="cbntpcer302" localSheetId="4">#REF!</definedName>
    <definedName name="cbntpcer302" localSheetId="35">#REF!</definedName>
    <definedName name="cbntpcer302" localSheetId="14">#REF!</definedName>
    <definedName name="cbntpcer302" localSheetId="11">#REF!</definedName>
    <definedName name="cbntpcer302" localSheetId="15">#REF!</definedName>
    <definedName name="cbntpcer302">#REF!</definedName>
    <definedName name="cbntpcer401" localSheetId="3">#REF!</definedName>
    <definedName name="cbntpcer401" localSheetId="4">#REF!</definedName>
    <definedName name="cbntpcer401" localSheetId="35">#REF!</definedName>
    <definedName name="cbntpcer401" localSheetId="14">#REF!</definedName>
    <definedName name="cbntpcer401" localSheetId="11">#REF!</definedName>
    <definedName name="cbntpcer401" localSheetId="15">#REF!</definedName>
    <definedName name="cbntpcer401">#REF!</definedName>
    <definedName name="cbntpcer501" localSheetId="3">#REF!</definedName>
    <definedName name="cbntpcer501" localSheetId="4">#REF!</definedName>
    <definedName name="cbntpcer501" localSheetId="35">#REF!</definedName>
    <definedName name="cbntpcer501" localSheetId="14">#REF!</definedName>
    <definedName name="cbntpcer501" localSheetId="11">#REF!</definedName>
    <definedName name="cbntpcer501" localSheetId="15">#REF!</definedName>
    <definedName name="cbntpcer501">#REF!</definedName>
    <definedName name="cbntpcer601" localSheetId="3">#REF!</definedName>
    <definedName name="cbntpcer601" localSheetId="4">#REF!</definedName>
    <definedName name="cbntpcer601" localSheetId="35">#REF!</definedName>
    <definedName name="cbntpcer601" localSheetId="14">#REF!</definedName>
    <definedName name="cbntpcer601" localSheetId="11">#REF!</definedName>
    <definedName name="cbntpcer601" localSheetId="15">#REF!</definedName>
    <definedName name="cbntpcer601">#REF!</definedName>
    <definedName name="cbntpcer701" localSheetId="3">#REF!</definedName>
    <definedName name="cbntpcer701" localSheetId="4">#REF!</definedName>
    <definedName name="cbntpcer701" localSheetId="35">#REF!</definedName>
    <definedName name="cbntpcer701" localSheetId="14">#REF!</definedName>
    <definedName name="cbntpcer701" localSheetId="11">#REF!</definedName>
    <definedName name="cbntpcer701" localSheetId="15">#REF!</definedName>
    <definedName name="cbntpcer701">#REF!</definedName>
    <definedName name="cbntpcer801" localSheetId="3">#REF!</definedName>
    <definedName name="cbntpcer801" localSheetId="4">#REF!</definedName>
    <definedName name="cbntpcer801" localSheetId="35">#REF!</definedName>
    <definedName name="cbntpcer801" localSheetId="14">#REF!</definedName>
    <definedName name="cbntpcer801" localSheetId="11">#REF!</definedName>
    <definedName name="cbntpcer801" localSheetId="15">#REF!</definedName>
    <definedName name="cbntpcer801">#REF!</definedName>
    <definedName name="cbntpcer901" localSheetId="3">#REF!</definedName>
    <definedName name="cbntpcer901" localSheetId="4">#REF!</definedName>
    <definedName name="cbntpcer901" localSheetId="35">#REF!</definedName>
    <definedName name="cbntpcer901" localSheetId="14">#REF!</definedName>
    <definedName name="cbntpcer901" localSheetId="11">#REF!</definedName>
    <definedName name="cbntpcer901" localSheetId="15">#REF!</definedName>
    <definedName name="cbntpcer901">#REF!</definedName>
    <definedName name="cbntpcsr1001" localSheetId="3">#REF!</definedName>
    <definedName name="cbntpcsr1001" localSheetId="4">#REF!</definedName>
    <definedName name="cbntpcsr1001" localSheetId="35">#REF!</definedName>
    <definedName name="cbntpcsr1001" localSheetId="14">#REF!</definedName>
    <definedName name="cbntpcsr1001" localSheetId="11">#REF!</definedName>
    <definedName name="cbntpcsr1001" localSheetId="15">#REF!</definedName>
    <definedName name="cbntpcsr1001">#REF!</definedName>
    <definedName name="cbntpcsr102" localSheetId="3">#REF!</definedName>
    <definedName name="cbntpcsr102" localSheetId="4">#REF!</definedName>
    <definedName name="cbntpcsr102" localSheetId="35">#REF!</definedName>
    <definedName name="cbntpcsr102" localSheetId="14">#REF!</definedName>
    <definedName name="cbntpcsr102" localSheetId="11">#REF!</definedName>
    <definedName name="cbntpcsr102" localSheetId="15">#REF!</definedName>
    <definedName name="cbntpcsr102">#REF!</definedName>
    <definedName name="cbntpcsr1101" localSheetId="3">#REF!</definedName>
    <definedName name="cbntpcsr1101" localSheetId="4">#REF!</definedName>
    <definedName name="cbntpcsr1101" localSheetId="35">#REF!</definedName>
    <definedName name="cbntpcsr1101" localSheetId="14">#REF!</definedName>
    <definedName name="cbntpcsr1101" localSheetId="11">#REF!</definedName>
    <definedName name="cbntpcsr1101" localSheetId="15">#REF!</definedName>
    <definedName name="cbntpcsr1101">#REF!</definedName>
    <definedName name="cbntpcsr1201" localSheetId="3">#REF!</definedName>
    <definedName name="cbntpcsr1201" localSheetId="4">#REF!</definedName>
    <definedName name="cbntpcsr1201" localSheetId="35">#REF!</definedName>
    <definedName name="cbntpcsr1201" localSheetId="14">#REF!</definedName>
    <definedName name="cbntpcsr1201" localSheetId="11">#REF!</definedName>
    <definedName name="cbntpcsr1201" localSheetId="15">#REF!</definedName>
    <definedName name="cbntpcsr1201">#REF!</definedName>
    <definedName name="cbntpcsr202" localSheetId="3">#REF!</definedName>
    <definedName name="cbntpcsr202" localSheetId="4">#REF!</definedName>
    <definedName name="cbntpcsr202" localSheetId="35">#REF!</definedName>
    <definedName name="cbntpcsr202" localSheetId="14">#REF!</definedName>
    <definedName name="cbntpcsr202" localSheetId="11">#REF!</definedName>
    <definedName name="cbntpcsr202" localSheetId="15">#REF!</definedName>
    <definedName name="cbntpcsr202">#REF!</definedName>
    <definedName name="cbntpcsr302" localSheetId="3">#REF!</definedName>
    <definedName name="cbntpcsr302" localSheetId="4">#REF!</definedName>
    <definedName name="cbntpcsr302" localSheetId="35">#REF!</definedName>
    <definedName name="cbntpcsr302" localSheetId="14">#REF!</definedName>
    <definedName name="cbntpcsr302" localSheetId="11">#REF!</definedName>
    <definedName name="cbntpcsr302" localSheetId="15">#REF!</definedName>
    <definedName name="cbntpcsr302">#REF!</definedName>
    <definedName name="cbntpcsr401" localSheetId="3">#REF!</definedName>
    <definedName name="cbntpcsr401" localSheetId="4">#REF!</definedName>
    <definedName name="cbntpcsr401" localSheetId="35">#REF!</definedName>
    <definedName name="cbntpcsr401" localSheetId="14">#REF!</definedName>
    <definedName name="cbntpcsr401" localSheetId="11">#REF!</definedName>
    <definedName name="cbntpcsr401" localSheetId="15">#REF!</definedName>
    <definedName name="cbntpcsr401">#REF!</definedName>
    <definedName name="cbntpcsr501" localSheetId="3">#REF!</definedName>
    <definedName name="cbntpcsr501" localSheetId="4">#REF!</definedName>
    <definedName name="cbntpcsr501" localSheetId="35">#REF!</definedName>
    <definedName name="cbntpcsr501" localSheetId="14">#REF!</definedName>
    <definedName name="cbntpcsr501" localSheetId="11">#REF!</definedName>
    <definedName name="cbntpcsr501" localSheetId="15">#REF!</definedName>
    <definedName name="cbntpcsr501">#REF!</definedName>
    <definedName name="cbntpcsr601" localSheetId="3">#REF!</definedName>
    <definedName name="cbntpcsr601" localSheetId="4">#REF!</definedName>
    <definedName name="cbntpcsr601" localSheetId="35">#REF!</definedName>
    <definedName name="cbntpcsr601" localSheetId="14">#REF!</definedName>
    <definedName name="cbntpcsr601" localSheetId="11">#REF!</definedName>
    <definedName name="cbntpcsr601" localSheetId="15">#REF!</definedName>
    <definedName name="cbntpcsr601">#REF!</definedName>
    <definedName name="cbntpcsr701" localSheetId="3">#REF!</definedName>
    <definedName name="cbntpcsr701" localSheetId="4">#REF!</definedName>
    <definedName name="cbntpcsr701" localSheetId="35">#REF!</definedName>
    <definedName name="cbntpcsr701" localSheetId="14">#REF!</definedName>
    <definedName name="cbntpcsr701" localSheetId="11">#REF!</definedName>
    <definedName name="cbntpcsr701" localSheetId="15">#REF!</definedName>
    <definedName name="cbntpcsr701">#REF!</definedName>
    <definedName name="cbntpcsr801" localSheetId="3">#REF!</definedName>
    <definedName name="cbntpcsr801" localSheetId="4">#REF!</definedName>
    <definedName name="cbntpcsr801" localSheetId="35">#REF!</definedName>
    <definedName name="cbntpcsr801" localSheetId="14">#REF!</definedName>
    <definedName name="cbntpcsr801" localSheetId="11">#REF!</definedName>
    <definedName name="cbntpcsr801" localSheetId="15">#REF!</definedName>
    <definedName name="cbntpcsr801">#REF!</definedName>
    <definedName name="cbntpcsr901" localSheetId="3">#REF!</definedName>
    <definedName name="cbntpcsr901" localSheetId="4">#REF!</definedName>
    <definedName name="cbntpcsr901" localSheetId="35">#REF!</definedName>
    <definedName name="cbntpcsr901" localSheetId="14">#REF!</definedName>
    <definedName name="cbntpcsr901" localSheetId="11">#REF!</definedName>
    <definedName name="cbntpcsr901" localSheetId="15">#REF!</definedName>
    <definedName name="cbntpcsr901">#REF!</definedName>
    <definedName name="cbpbs1001" localSheetId="3">#REF!</definedName>
    <definedName name="cbpbs1001" localSheetId="4">#REF!</definedName>
    <definedName name="cbpbs1001" localSheetId="35">#REF!</definedName>
    <definedName name="cbpbs1001" localSheetId="14">#REF!</definedName>
    <definedName name="cbpbs1001" localSheetId="11">#REF!</definedName>
    <definedName name="cbpbs1001" localSheetId="15">#REF!</definedName>
    <definedName name="cbpbs1001">#REF!</definedName>
    <definedName name="cbpbs102" localSheetId="3">#REF!</definedName>
    <definedName name="cbpbs102" localSheetId="4">#REF!</definedName>
    <definedName name="cbpbs102" localSheetId="35">#REF!</definedName>
    <definedName name="cbpbs102" localSheetId="14">#REF!</definedName>
    <definedName name="cbpbs102" localSheetId="11">#REF!</definedName>
    <definedName name="cbpbs102" localSheetId="15">#REF!</definedName>
    <definedName name="cbpbs102">#REF!</definedName>
    <definedName name="cbpbs1101" localSheetId="3">#REF!</definedName>
    <definedName name="cbpbs1101" localSheetId="4">#REF!</definedName>
    <definedName name="cbpbs1101" localSheetId="35">#REF!</definedName>
    <definedName name="cbpbs1101" localSheetId="14">#REF!</definedName>
    <definedName name="cbpbs1101" localSheetId="11">#REF!</definedName>
    <definedName name="cbpbs1101" localSheetId="15">#REF!</definedName>
    <definedName name="cbpbs1101">#REF!</definedName>
    <definedName name="cbpbs1201" localSheetId="3">#REF!</definedName>
    <definedName name="cbpbs1201" localSheetId="4">#REF!</definedName>
    <definedName name="cbpbs1201" localSheetId="35">#REF!</definedName>
    <definedName name="cbpbs1201" localSheetId="14">#REF!</definedName>
    <definedName name="cbpbs1201" localSheetId="11">#REF!</definedName>
    <definedName name="cbpbs1201" localSheetId="15">#REF!</definedName>
    <definedName name="cbpbs1201">#REF!</definedName>
    <definedName name="cbpbs202" localSheetId="3">#REF!</definedName>
    <definedName name="cbpbs202" localSheetId="4">#REF!</definedName>
    <definedName name="cbpbs202" localSheetId="35">#REF!</definedName>
    <definedName name="cbpbs202" localSheetId="14">#REF!</definedName>
    <definedName name="cbpbs202" localSheetId="11">#REF!</definedName>
    <definedName name="cbpbs202" localSheetId="15">#REF!</definedName>
    <definedName name="cbpbs202">#REF!</definedName>
    <definedName name="cbpbs302" localSheetId="3">#REF!</definedName>
    <definedName name="cbpbs302" localSheetId="4">#REF!</definedName>
    <definedName name="cbpbs302" localSheetId="35">#REF!</definedName>
    <definedName name="cbpbs302" localSheetId="14">#REF!</definedName>
    <definedName name="cbpbs302" localSheetId="11">#REF!</definedName>
    <definedName name="cbpbs302" localSheetId="15">#REF!</definedName>
    <definedName name="cbpbs302">#REF!</definedName>
    <definedName name="cbpgcil1001" localSheetId="3">#REF!</definedName>
    <definedName name="cbpgcil1001" localSheetId="4">#REF!</definedName>
    <definedName name="cbpgcil1001" localSheetId="35">#REF!</definedName>
    <definedName name="cbpgcil1001" localSheetId="14">#REF!</definedName>
    <definedName name="cbpgcil1001" localSheetId="11">#REF!</definedName>
    <definedName name="cbpgcil1001" localSheetId="15">#REF!</definedName>
    <definedName name="cbpgcil1001">#REF!</definedName>
    <definedName name="cbpgcil102" localSheetId="3">#REF!</definedName>
    <definedName name="cbpgcil102" localSheetId="4">#REF!</definedName>
    <definedName name="cbpgcil102" localSheetId="35">#REF!</definedName>
    <definedName name="cbpgcil102" localSheetId="14">#REF!</definedName>
    <definedName name="cbpgcil102" localSheetId="11">#REF!</definedName>
    <definedName name="cbpgcil102" localSheetId="15">#REF!</definedName>
    <definedName name="cbpgcil102">#REF!</definedName>
    <definedName name="cbpgcil1101" localSheetId="3">#REF!</definedName>
    <definedName name="cbpgcil1101" localSheetId="4">#REF!</definedName>
    <definedName name="cbpgcil1101" localSheetId="35">#REF!</definedName>
    <definedName name="cbpgcil1101" localSheetId="14">#REF!</definedName>
    <definedName name="cbpgcil1101" localSheetId="11">#REF!</definedName>
    <definedName name="cbpgcil1101" localSheetId="15">#REF!</definedName>
    <definedName name="cbpgcil1101">#REF!</definedName>
    <definedName name="cbpgcil1201" localSheetId="3">#REF!</definedName>
    <definedName name="cbpgcil1201" localSheetId="4">#REF!</definedName>
    <definedName name="cbpgcil1201" localSheetId="35">#REF!</definedName>
    <definedName name="cbpgcil1201" localSheetId="14">#REF!</definedName>
    <definedName name="cbpgcil1201" localSheetId="11">#REF!</definedName>
    <definedName name="cbpgcil1201" localSheetId="15">#REF!</definedName>
    <definedName name="cbpgcil1201">#REF!</definedName>
    <definedName name="cbpgcil202" localSheetId="3">#REF!</definedName>
    <definedName name="cbpgcil202" localSheetId="4">#REF!</definedName>
    <definedName name="cbpgcil202" localSheetId="35">#REF!</definedName>
    <definedName name="cbpgcil202" localSheetId="14">#REF!</definedName>
    <definedName name="cbpgcil202" localSheetId="11">#REF!</definedName>
    <definedName name="cbpgcil202" localSheetId="15">#REF!</definedName>
    <definedName name="cbpgcil202">#REF!</definedName>
    <definedName name="cbpgcil302" localSheetId="3">#REF!</definedName>
    <definedName name="cbpgcil302" localSheetId="4">#REF!</definedName>
    <definedName name="cbpgcil302" localSheetId="35">#REF!</definedName>
    <definedName name="cbpgcil302" localSheetId="14">#REF!</definedName>
    <definedName name="cbpgcil302" localSheetId="11">#REF!</definedName>
    <definedName name="cbpgcil302" localSheetId="15">#REF!</definedName>
    <definedName name="cbpgcil302">#REF!</definedName>
    <definedName name="cbpgcil901" localSheetId="3">#REF!</definedName>
    <definedName name="cbpgcil901" localSheetId="4">#REF!</definedName>
    <definedName name="cbpgcil901" localSheetId="35">#REF!</definedName>
    <definedName name="cbpgcil901" localSheetId="14">#REF!</definedName>
    <definedName name="cbpgcil901" localSheetId="11">#REF!</definedName>
    <definedName name="cbpgcil901" localSheetId="15">#REF!</definedName>
    <definedName name="cbpgcil901">#REF!</definedName>
    <definedName name="cbptcil102" localSheetId="3">#REF!</definedName>
    <definedName name="cbptcil102" localSheetId="4">#REF!</definedName>
    <definedName name="cbptcil102" localSheetId="35">#REF!</definedName>
    <definedName name="cbptcil102" localSheetId="14">#REF!</definedName>
    <definedName name="cbptcil102" localSheetId="11">#REF!</definedName>
    <definedName name="cbptcil102" localSheetId="15">#REF!</definedName>
    <definedName name="cbptcil102">#REF!</definedName>
    <definedName name="cbptcil1101" localSheetId="3">#REF!</definedName>
    <definedName name="cbptcil1101" localSheetId="4">#REF!</definedName>
    <definedName name="cbptcil1101" localSheetId="35">#REF!</definedName>
    <definedName name="cbptcil1101" localSheetId="14">#REF!</definedName>
    <definedName name="cbptcil1101" localSheetId="11">#REF!</definedName>
    <definedName name="cbptcil1101" localSheetId="15">#REF!</definedName>
    <definedName name="cbptcil1101">#REF!</definedName>
    <definedName name="cbptcil1201" localSheetId="3">#REF!</definedName>
    <definedName name="cbptcil1201" localSheetId="4">#REF!</definedName>
    <definedName name="cbptcil1201" localSheetId="35">#REF!</definedName>
    <definedName name="cbptcil1201" localSheetId="14">#REF!</definedName>
    <definedName name="cbptcil1201" localSheetId="11">#REF!</definedName>
    <definedName name="cbptcil1201" localSheetId="15">#REF!</definedName>
    <definedName name="cbptcil1201">#REF!</definedName>
    <definedName name="cbptcil202" localSheetId="3">#REF!</definedName>
    <definedName name="cbptcil202" localSheetId="4">#REF!</definedName>
    <definedName name="cbptcil202" localSheetId="35">#REF!</definedName>
    <definedName name="cbptcil202" localSheetId="14">#REF!</definedName>
    <definedName name="cbptcil202" localSheetId="11">#REF!</definedName>
    <definedName name="cbptcil202" localSheetId="15">#REF!</definedName>
    <definedName name="cbptcil202">#REF!</definedName>
    <definedName name="cbptcil302" localSheetId="3">#REF!</definedName>
    <definedName name="cbptcil302" localSheetId="4">#REF!</definedName>
    <definedName name="cbptcil302" localSheetId="35">#REF!</definedName>
    <definedName name="cbptcil302" localSheetId="14">#REF!</definedName>
    <definedName name="cbptcil302" localSheetId="11">#REF!</definedName>
    <definedName name="cbptcil302" localSheetId="15">#REF!</definedName>
    <definedName name="cbptcil302">#REF!</definedName>
    <definedName name="cbrenuka1001" localSheetId="3">#REF!</definedName>
    <definedName name="cbrenuka1001" localSheetId="4">#REF!</definedName>
    <definedName name="cbrenuka1001" localSheetId="35">#REF!</definedName>
    <definedName name="cbrenuka1001" localSheetId="14">#REF!</definedName>
    <definedName name="cbrenuka1001" localSheetId="11">#REF!</definedName>
    <definedName name="cbrenuka1001" localSheetId="15">#REF!</definedName>
    <definedName name="cbrenuka1001">#REF!</definedName>
    <definedName name="cbrenuka102" localSheetId="3">#REF!</definedName>
    <definedName name="cbrenuka102" localSheetId="4">#REF!</definedName>
    <definedName name="cbrenuka102" localSheetId="35">#REF!</definedName>
    <definedName name="cbrenuka102" localSheetId="14">#REF!</definedName>
    <definedName name="cbrenuka102" localSheetId="11">#REF!</definedName>
    <definedName name="cbrenuka102" localSheetId="15">#REF!</definedName>
    <definedName name="cbrenuka102">#REF!</definedName>
    <definedName name="cbrenuka1101" localSheetId="3">#REF!</definedName>
    <definedName name="cbrenuka1101" localSheetId="4">#REF!</definedName>
    <definedName name="cbrenuka1101" localSheetId="35">#REF!</definedName>
    <definedName name="cbrenuka1101" localSheetId="14">#REF!</definedName>
    <definedName name="cbrenuka1101" localSheetId="11">#REF!</definedName>
    <definedName name="cbrenuka1101" localSheetId="15">#REF!</definedName>
    <definedName name="cbrenuka1101">#REF!</definedName>
    <definedName name="cbrenuka1201" localSheetId="3">#REF!</definedName>
    <definedName name="cbrenuka1201" localSheetId="4">#REF!</definedName>
    <definedName name="cbrenuka1201" localSheetId="35">#REF!</definedName>
    <definedName name="cbrenuka1201" localSheetId="14">#REF!</definedName>
    <definedName name="cbrenuka1201" localSheetId="11">#REF!</definedName>
    <definedName name="cbrenuka1201" localSheetId="15">#REF!</definedName>
    <definedName name="cbrenuka1201">#REF!</definedName>
    <definedName name="cbrenuka202" localSheetId="3">#REF!</definedName>
    <definedName name="cbrenuka202" localSheetId="4">#REF!</definedName>
    <definedName name="cbrenuka202" localSheetId="35">#REF!</definedName>
    <definedName name="cbrenuka202" localSheetId="14">#REF!</definedName>
    <definedName name="cbrenuka202" localSheetId="11">#REF!</definedName>
    <definedName name="cbrenuka202" localSheetId="15">#REF!</definedName>
    <definedName name="cbrenuka202">#REF!</definedName>
    <definedName name="cbrenuka302" localSheetId="3">#REF!</definedName>
    <definedName name="cbrenuka302" localSheetId="4">#REF!</definedName>
    <definedName name="cbrenuka302" localSheetId="35">#REF!</definedName>
    <definedName name="cbrenuka302" localSheetId="14">#REF!</definedName>
    <definedName name="cbrenuka302" localSheetId="11">#REF!</definedName>
    <definedName name="cbrenuka302" localSheetId="15">#REF!</definedName>
    <definedName name="cbrenuka302">#REF!</definedName>
    <definedName name="cbrssk102" localSheetId="3">#REF!</definedName>
    <definedName name="cbrssk102" localSheetId="4">#REF!</definedName>
    <definedName name="cbrssk102" localSheetId="35">#REF!</definedName>
    <definedName name="cbrssk102" localSheetId="14">#REF!</definedName>
    <definedName name="cbrssk102" localSheetId="11">#REF!</definedName>
    <definedName name="cbrssk102" localSheetId="15">#REF!</definedName>
    <definedName name="cbrssk102">#REF!</definedName>
    <definedName name="cbrssk202" localSheetId="3">#REF!</definedName>
    <definedName name="cbrssk202" localSheetId="4">#REF!</definedName>
    <definedName name="cbrssk202" localSheetId="35">#REF!</definedName>
    <definedName name="cbrssk202" localSheetId="14">#REF!</definedName>
    <definedName name="cbrssk202" localSheetId="11">#REF!</definedName>
    <definedName name="cbrssk202" localSheetId="15">#REF!</definedName>
    <definedName name="cbrssk202">#REF!</definedName>
    <definedName name="cbrssk302" localSheetId="3">#REF!</definedName>
    <definedName name="cbrssk302" localSheetId="4">#REF!</definedName>
    <definedName name="cbrssk302" localSheetId="35">#REF!</definedName>
    <definedName name="cbrssk302" localSheetId="14">#REF!</definedName>
    <definedName name="cbrssk302" localSheetId="11">#REF!</definedName>
    <definedName name="cbrssk302" localSheetId="15">#REF!</definedName>
    <definedName name="cbrssk302">#REF!</definedName>
    <definedName name="cbSIP1001" localSheetId="3">#REF!</definedName>
    <definedName name="cbSIP1001" localSheetId="4">#REF!</definedName>
    <definedName name="cbSIP1001" localSheetId="35">#REF!</definedName>
    <definedName name="cbSIP1001" localSheetId="14">#REF!</definedName>
    <definedName name="cbSIP1001" localSheetId="11">#REF!</definedName>
    <definedName name="cbSIP1001" localSheetId="15">#REF!</definedName>
    <definedName name="cbSIP1001">#REF!</definedName>
    <definedName name="cbSIP102" localSheetId="3">#REF!</definedName>
    <definedName name="cbSIP102" localSheetId="4">#REF!</definedName>
    <definedName name="cbSIP102" localSheetId="35">#REF!</definedName>
    <definedName name="cbSIP102" localSheetId="14">#REF!</definedName>
    <definedName name="cbSIP102" localSheetId="11">#REF!</definedName>
    <definedName name="cbSIP102" localSheetId="15">#REF!</definedName>
    <definedName name="cbSIP102">#REF!</definedName>
    <definedName name="cbSIP1101" localSheetId="3">#REF!</definedName>
    <definedName name="cbSIP1101" localSheetId="4">#REF!</definedName>
    <definedName name="cbSIP1101" localSheetId="35">#REF!</definedName>
    <definedName name="cbSIP1101" localSheetId="14">#REF!</definedName>
    <definedName name="cbSIP1101" localSheetId="11">#REF!</definedName>
    <definedName name="cbSIP1101" localSheetId="15">#REF!</definedName>
    <definedName name="cbSIP1101">#REF!</definedName>
    <definedName name="cbSIP1201" localSheetId="3">#REF!</definedName>
    <definedName name="cbSIP1201" localSheetId="4">#REF!</definedName>
    <definedName name="cbSIP1201" localSheetId="35">#REF!</definedName>
    <definedName name="cbSIP1201" localSheetId="14">#REF!</definedName>
    <definedName name="cbSIP1201" localSheetId="11">#REF!</definedName>
    <definedName name="cbSIP1201" localSheetId="15">#REF!</definedName>
    <definedName name="cbSIP1201">#REF!</definedName>
    <definedName name="cbSIP202" localSheetId="3">#REF!</definedName>
    <definedName name="cbSIP202" localSheetId="4">#REF!</definedName>
    <definedName name="cbSIP202" localSheetId="35">#REF!</definedName>
    <definedName name="cbSIP202" localSheetId="14">#REF!</definedName>
    <definedName name="cbSIP202" localSheetId="11">#REF!</definedName>
    <definedName name="cbSIP202" localSheetId="15">#REF!</definedName>
    <definedName name="cbSIP202">#REF!</definedName>
    <definedName name="cbSIP302" localSheetId="3">#REF!</definedName>
    <definedName name="cbSIP302" localSheetId="4">#REF!</definedName>
    <definedName name="cbSIP302" localSheetId="35">#REF!</definedName>
    <definedName name="cbSIP302" localSheetId="14">#REF!</definedName>
    <definedName name="cbSIP302" localSheetId="11">#REF!</definedName>
    <definedName name="cbSIP302" localSheetId="15">#REF!</definedName>
    <definedName name="cbSIP302">#REF!</definedName>
    <definedName name="cbsmiore1001" localSheetId="3">#REF!</definedName>
    <definedName name="cbsmiore1001" localSheetId="4">#REF!</definedName>
    <definedName name="cbsmiore1001" localSheetId="35">#REF!</definedName>
    <definedName name="cbsmiore1001" localSheetId="14">#REF!</definedName>
    <definedName name="cbsmiore1001" localSheetId="11">#REF!</definedName>
    <definedName name="cbsmiore1001" localSheetId="15">#REF!</definedName>
    <definedName name="cbsmiore1001">#REF!</definedName>
    <definedName name="cbsmiore102" localSheetId="3">#REF!</definedName>
    <definedName name="cbsmiore102" localSheetId="4">#REF!</definedName>
    <definedName name="cbsmiore102" localSheetId="35">#REF!</definedName>
    <definedName name="cbsmiore102" localSheetId="14">#REF!</definedName>
    <definedName name="cbsmiore102" localSheetId="11">#REF!</definedName>
    <definedName name="cbsmiore102" localSheetId="15">#REF!</definedName>
    <definedName name="cbsmiore102">#REF!</definedName>
    <definedName name="cbsmiore1101" localSheetId="3">#REF!</definedName>
    <definedName name="cbsmiore1101" localSheetId="4">#REF!</definedName>
    <definedName name="cbsmiore1101" localSheetId="35">#REF!</definedName>
    <definedName name="cbsmiore1101" localSheetId="14">#REF!</definedName>
    <definedName name="cbsmiore1101" localSheetId="11">#REF!</definedName>
    <definedName name="cbsmiore1101" localSheetId="15">#REF!</definedName>
    <definedName name="cbsmiore1101">#REF!</definedName>
    <definedName name="cbsmiore1201" localSheetId="3">#REF!</definedName>
    <definedName name="cbsmiore1201" localSheetId="4">#REF!</definedName>
    <definedName name="cbsmiore1201" localSheetId="35">#REF!</definedName>
    <definedName name="cbsmiore1201" localSheetId="14">#REF!</definedName>
    <definedName name="cbsmiore1201" localSheetId="11">#REF!</definedName>
    <definedName name="cbsmiore1201" localSheetId="15">#REF!</definedName>
    <definedName name="cbsmiore1201">#REF!</definedName>
    <definedName name="cbsmiore202" localSheetId="3">#REF!</definedName>
    <definedName name="cbsmiore202" localSheetId="4">#REF!</definedName>
    <definedName name="cbsmiore202" localSheetId="35">#REF!</definedName>
    <definedName name="cbsmiore202" localSheetId="14">#REF!</definedName>
    <definedName name="cbsmiore202" localSheetId="11">#REF!</definedName>
    <definedName name="cbsmiore202" localSheetId="15">#REF!</definedName>
    <definedName name="cbsmiore202">#REF!</definedName>
    <definedName name="cbsmiore302" localSheetId="3">#REF!</definedName>
    <definedName name="cbsmiore302" localSheetId="4">#REF!</definedName>
    <definedName name="cbsmiore302" localSheetId="35">#REF!</definedName>
    <definedName name="cbsmiore302" localSheetId="14">#REF!</definedName>
    <definedName name="cbsmiore302" localSheetId="11">#REF!</definedName>
    <definedName name="cbsmiore302" localSheetId="15">#REF!</definedName>
    <definedName name="cbsmiore302">#REF!</definedName>
    <definedName name="cbsraac1001" localSheetId="3">#REF!</definedName>
    <definedName name="cbsraac1001" localSheetId="4">#REF!</definedName>
    <definedName name="cbsraac1001" localSheetId="35">#REF!</definedName>
    <definedName name="cbsraac1001" localSheetId="14">#REF!</definedName>
    <definedName name="cbsraac1001" localSheetId="11">#REF!</definedName>
    <definedName name="cbsraac1001" localSheetId="15">#REF!</definedName>
    <definedName name="cbsraac1001">#REF!</definedName>
    <definedName name="cbsraac102" localSheetId="3">#REF!</definedName>
    <definedName name="cbsraac102" localSheetId="4">#REF!</definedName>
    <definedName name="cbsraac102" localSheetId="35">#REF!</definedName>
    <definedName name="cbsraac102" localSheetId="14">#REF!</definedName>
    <definedName name="cbsraac102" localSheetId="11">#REF!</definedName>
    <definedName name="cbsraac102" localSheetId="15">#REF!</definedName>
    <definedName name="cbsraac102">#REF!</definedName>
    <definedName name="cbsraac1101" localSheetId="3">#REF!</definedName>
    <definedName name="cbsraac1101" localSheetId="4">#REF!</definedName>
    <definedName name="cbsraac1101" localSheetId="35">#REF!</definedName>
    <definedName name="cbsraac1101" localSheetId="14">#REF!</definedName>
    <definedName name="cbsraac1101" localSheetId="11">#REF!</definedName>
    <definedName name="cbsraac1101" localSheetId="15">#REF!</definedName>
    <definedName name="cbsraac1101">#REF!</definedName>
    <definedName name="cbsraac1201" localSheetId="3">#REF!</definedName>
    <definedName name="cbsraac1201" localSheetId="4">#REF!</definedName>
    <definedName name="cbsraac1201" localSheetId="35">#REF!</definedName>
    <definedName name="cbsraac1201" localSheetId="14">#REF!</definedName>
    <definedName name="cbsraac1201" localSheetId="11">#REF!</definedName>
    <definedName name="cbsraac1201" localSheetId="15">#REF!</definedName>
    <definedName name="cbsraac1201">#REF!</definedName>
    <definedName name="cbsraac202" localSheetId="3">#REF!</definedName>
    <definedName name="cbsraac202" localSheetId="4">#REF!</definedName>
    <definedName name="cbsraac202" localSheetId="35">#REF!</definedName>
    <definedName name="cbsraac202" localSheetId="14">#REF!</definedName>
    <definedName name="cbsraac202" localSheetId="11">#REF!</definedName>
    <definedName name="cbsraac202" localSheetId="15">#REF!</definedName>
    <definedName name="cbsraac202">#REF!</definedName>
    <definedName name="cbsraac302" localSheetId="3">#REF!</definedName>
    <definedName name="cbsraac302" localSheetId="4">#REF!</definedName>
    <definedName name="cbsraac302" localSheetId="35">#REF!</definedName>
    <definedName name="cbsraac302" localSheetId="14">#REF!</definedName>
    <definedName name="cbsraac302" localSheetId="11">#REF!</definedName>
    <definedName name="cbsraac302" localSheetId="15">#REF!</definedName>
    <definedName name="cbsraac302">#REF!</definedName>
    <definedName name="cbSS1001" localSheetId="3">#REF!</definedName>
    <definedName name="cbSS1001" localSheetId="4">#REF!</definedName>
    <definedName name="cbSS1001" localSheetId="35">#REF!</definedName>
    <definedName name="cbSS1001" localSheetId="14">#REF!</definedName>
    <definedName name="cbSS1001" localSheetId="11">#REF!</definedName>
    <definedName name="cbSS1001" localSheetId="15">#REF!</definedName>
    <definedName name="cbSS1001">#REF!</definedName>
    <definedName name="cbSS102" localSheetId="3">#REF!</definedName>
    <definedName name="cbSS102" localSheetId="4">#REF!</definedName>
    <definedName name="cbSS102" localSheetId="35">#REF!</definedName>
    <definedName name="cbSS102" localSheetId="14">#REF!</definedName>
    <definedName name="cbSS102" localSheetId="11">#REF!</definedName>
    <definedName name="cbSS102" localSheetId="15">#REF!</definedName>
    <definedName name="cbSS102">#REF!</definedName>
    <definedName name="cbSS1101" localSheetId="3">#REF!</definedName>
    <definedName name="cbSS1101" localSheetId="4">#REF!</definedName>
    <definedName name="cbSS1101" localSheetId="35">#REF!</definedName>
    <definedName name="cbSS1101" localSheetId="14">#REF!</definedName>
    <definedName name="cbSS1101" localSheetId="11">#REF!</definedName>
    <definedName name="cbSS1101" localSheetId="15">#REF!</definedName>
    <definedName name="cbSS1101">#REF!</definedName>
    <definedName name="cbSS1201" localSheetId="3">#REF!</definedName>
    <definedName name="cbSS1201" localSheetId="4">#REF!</definedName>
    <definedName name="cbSS1201" localSheetId="35">#REF!</definedName>
    <definedName name="cbSS1201" localSheetId="14">#REF!</definedName>
    <definedName name="cbSS1201" localSheetId="11">#REF!</definedName>
    <definedName name="cbSS1201" localSheetId="15">#REF!</definedName>
    <definedName name="cbSS1201">#REF!</definedName>
    <definedName name="cbSS202" localSheetId="3">#REF!</definedName>
    <definedName name="cbSS202" localSheetId="4">#REF!</definedName>
    <definedName name="cbSS202" localSheetId="35">#REF!</definedName>
    <definedName name="cbSS202" localSheetId="14">#REF!</definedName>
    <definedName name="cbSS202" localSheetId="11">#REF!</definedName>
    <definedName name="cbSS202" localSheetId="15">#REF!</definedName>
    <definedName name="cbSS202">#REF!</definedName>
    <definedName name="cbSS302" localSheetId="3">#REF!</definedName>
    <definedName name="cbSS302" localSheetId="4">#REF!</definedName>
    <definedName name="cbSS302" localSheetId="35">#REF!</definedName>
    <definedName name="cbSS302" localSheetId="14">#REF!</definedName>
    <definedName name="cbSS302" localSheetId="11">#REF!</definedName>
    <definedName name="cbSS302" localSheetId="15">#REF!</definedName>
    <definedName name="cbSS302">#REF!</definedName>
    <definedName name="cbtata1001" localSheetId="3">#REF!</definedName>
    <definedName name="cbtata1001" localSheetId="4">#REF!</definedName>
    <definedName name="cbtata1001" localSheetId="35">#REF!</definedName>
    <definedName name="cbtata1001" localSheetId="14">#REF!</definedName>
    <definedName name="cbtata1001" localSheetId="11">#REF!</definedName>
    <definedName name="cbtata1001" localSheetId="15">#REF!</definedName>
    <definedName name="cbtata1001">#REF!</definedName>
    <definedName name="cbtata102" localSheetId="3">#REF!</definedName>
    <definedName name="cbtata102" localSheetId="4">#REF!</definedName>
    <definedName name="cbtata102" localSheetId="35">#REF!</definedName>
    <definedName name="cbtata102" localSheetId="14">#REF!</definedName>
    <definedName name="cbtata102" localSheetId="11">#REF!</definedName>
    <definedName name="cbtata102" localSheetId="15">#REF!</definedName>
    <definedName name="cbtata102">#REF!</definedName>
    <definedName name="cbtata1101" localSheetId="3">#REF!</definedName>
    <definedName name="cbtata1101" localSheetId="4">#REF!</definedName>
    <definedName name="cbtata1101" localSheetId="35">#REF!</definedName>
    <definedName name="cbtata1101" localSheetId="14">#REF!</definedName>
    <definedName name="cbtata1101" localSheetId="11">#REF!</definedName>
    <definedName name="cbtata1101" localSheetId="15">#REF!</definedName>
    <definedName name="cbtata1101">#REF!</definedName>
    <definedName name="cbtata1201" localSheetId="3">#REF!</definedName>
    <definedName name="cbtata1201" localSheetId="4">#REF!</definedName>
    <definedName name="cbtata1201" localSheetId="35">#REF!</definedName>
    <definedName name="cbtata1201" localSheetId="14">#REF!</definedName>
    <definedName name="cbtata1201" localSheetId="11">#REF!</definedName>
    <definedName name="cbtata1201" localSheetId="15">#REF!</definedName>
    <definedName name="cbtata1201">#REF!</definedName>
    <definedName name="cbtata202" localSheetId="3">#REF!</definedName>
    <definedName name="cbtata202" localSheetId="4">#REF!</definedName>
    <definedName name="cbtata202" localSheetId="35">#REF!</definedName>
    <definedName name="cbtata202" localSheetId="14">#REF!</definedName>
    <definedName name="cbtata202" localSheetId="11">#REF!</definedName>
    <definedName name="cbtata202" localSheetId="15">#REF!</definedName>
    <definedName name="cbtata202">#REF!</definedName>
    <definedName name="cbtata302" localSheetId="3">#REF!</definedName>
    <definedName name="cbtata302" localSheetId="4">#REF!</definedName>
    <definedName name="cbtata302" localSheetId="35">#REF!</definedName>
    <definedName name="cbtata302" localSheetId="14">#REF!</definedName>
    <definedName name="cbtata302" localSheetId="11">#REF!</definedName>
    <definedName name="cbtata302" localSheetId="15">#REF!</definedName>
    <definedName name="cbtata302">#REF!</definedName>
    <definedName name="cbtbs1001" localSheetId="3">#REF!</definedName>
    <definedName name="cbtbs1001" localSheetId="4">#REF!</definedName>
    <definedName name="cbtbs1001" localSheetId="35">#REF!</definedName>
    <definedName name="cbtbs1001" localSheetId="14">#REF!</definedName>
    <definedName name="cbtbs1001" localSheetId="11">#REF!</definedName>
    <definedName name="cbtbs1001" localSheetId="15">#REF!</definedName>
    <definedName name="cbtbs1001">#REF!</definedName>
    <definedName name="cbtbs102" localSheetId="3">#REF!</definedName>
    <definedName name="cbtbs102" localSheetId="4">#REF!</definedName>
    <definedName name="cbtbs102" localSheetId="35">#REF!</definedName>
    <definedName name="cbtbs102" localSheetId="14">#REF!</definedName>
    <definedName name="cbtbs102" localSheetId="11">#REF!</definedName>
    <definedName name="cbtbs102" localSheetId="15">#REF!</definedName>
    <definedName name="cbtbs102">#REF!</definedName>
    <definedName name="cbtbs1101" localSheetId="3">#REF!</definedName>
    <definedName name="cbtbs1101" localSheetId="4">#REF!</definedName>
    <definedName name="cbtbs1101" localSheetId="35">#REF!</definedName>
    <definedName name="cbtbs1101" localSheetId="14">#REF!</definedName>
    <definedName name="cbtbs1101" localSheetId="11">#REF!</definedName>
    <definedName name="cbtbs1101" localSheetId="15">#REF!</definedName>
    <definedName name="cbtbs1101">#REF!</definedName>
    <definedName name="cbtbs1201" localSheetId="3">#REF!</definedName>
    <definedName name="cbtbs1201" localSheetId="4">#REF!</definedName>
    <definedName name="cbtbs1201" localSheetId="35">#REF!</definedName>
    <definedName name="cbtbs1201" localSheetId="14">#REF!</definedName>
    <definedName name="cbtbs1201" localSheetId="11">#REF!</definedName>
    <definedName name="cbtbs1201" localSheetId="15">#REF!</definedName>
    <definedName name="cbtbs1201">#REF!</definedName>
    <definedName name="cbtbs202" localSheetId="3">#REF!</definedName>
    <definedName name="cbtbs202" localSheetId="4">#REF!</definedName>
    <definedName name="cbtbs202" localSheetId="35">#REF!</definedName>
    <definedName name="cbtbs202" localSheetId="14">#REF!</definedName>
    <definedName name="cbtbs202" localSheetId="11">#REF!</definedName>
    <definedName name="cbtbs202" localSheetId="15">#REF!</definedName>
    <definedName name="cbtbs202">#REF!</definedName>
    <definedName name="cbtbs302" localSheetId="3">#REF!</definedName>
    <definedName name="cbtbs302" localSheetId="4">#REF!</definedName>
    <definedName name="cbtbs302" localSheetId="35">#REF!</definedName>
    <definedName name="cbtbs302" localSheetId="14">#REF!</definedName>
    <definedName name="cbtbs302" localSheetId="11">#REF!</definedName>
    <definedName name="cbtbs302" localSheetId="15">#REF!</definedName>
    <definedName name="cbtbs302">#REF!</definedName>
    <definedName name="cbtnb1001" localSheetId="3">#REF!</definedName>
    <definedName name="cbtnb1001" localSheetId="4">#REF!</definedName>
    <definedName name="cbtnb1001" localSheetId="35">#REF!</definedName>
    <definedName name="cbtnb1001" localSheetId="14">#REF!</definedName>
    <definedName name="cbtnb1001" localSheetId="11">#REF!</definedName>
    <definedName name="cbtnb1001" localSheetId="15">#REF!</definedName>
    <definedName name="cbtnb1001">#REF!</definedName>
    <definedName name="cbtnb102" localSheetId="3">#REF!</definedName>
    <definedName name="cbtnb102" localSheetId="4">#REF!</definedName>
    <definedName name="cbtnb102" localSheetId="35">#REF!</definedName>
    <definedName name="cbtnb102" localSheetId="14">#REF!</definedName>
    <definedName name="cbtnb102" localSheetId="11">#REF!</definedName>
    <definedName name="cbtnb102" localSheetId="15">#REF!</definedName>
    <definedName name="cbtnb102">#REF!</definedName>
    <definedName name="cbtnb1101" localSheetId="3">#REF!</definedName>
    <definedName name="cbtnb1101" localSheetId="4">#REF!</definedName>
    <definedName name="cbtnb1101" localSheetId="35">#REF!</definedName>
    <definedName name="cbtnb1101" localSheetId="14">#REF!</definedName>
    <definedName name="cbtnb1101" localSheetId="11">#REF!</definedName>
    <definedName name="cbtnb1101" localSheetId="15">#REF!</definedName>
    <definedName name="cbtnb1101">#REF!</definedName>
    <definedName name="cbtnb1201" localSheetId="3">#REF!</definedName>
    <definedName name="cbtnb1201" localSheetId="4">#REF!</definedName>
    <definedName name="cbtnb1201" localSheetId="35">#REF!</definedName>
    <definedName name="cbtnb1201" localSheetId="14">#REF!</definedName>
    <definedName name="cbtnb1201" localSheetId="11">#REF!</definedName>
    <definedName name="cbtnb1201" localSheetId="15">#REF!</definedName>
    <definedName name="cbtnb1201">#REF!</definedName>
    <definedName name="cbtnb202" localSheetId="3">#REF!</definedName>
    <definedName name="cbtnb202" localSheetId="4">#REF!</definedName>
    <definedName name="cbtnb202" localSheetId="35">#REF!</definedName>
    <definedName name="cbtnb202" localSheetId="14">#REF!</definedName>
    <definedName name="cbtnb202" localSheetId="11">#REF!</definedName>
    <definedName name="cbtnb202" localSheetId="15">#REF!</definedName>
    <definedName name="cbtnb202">#REF!</definedName>
    <definedName name="cbtnb302" localSheetId="3">#REF!</definedName>
    <definedName name="cbtnb302" localSheetId="4">#REF!</definedName>
    <definedName name="cbtnb302" localSheetId="35">#REF!</definedName>
    <definedName name="cbtnb302" localSheetId="14">#REF!</definedName>
    <definedName name="cbtnb302" localSheetId="11">#REF!</definedName>
    <definedName name="cbtnb302" localSheetId="15">#REF!</definedName>
    <definedName name="cbtnb302">#REF!</definedName>
    <definedName name="cbtneb1001" localSheetId="3">#REF!</definedName>
    <definedName name="cbtneb1001" localSheetId="4">#REF!</definedName>
    <definedName name="cbtneb1001" localSheetId="35">#REF!</definedName>
    <definedName name="cbtneb1001" localSheetId="14">#REF!</definedName>
    <definedName name="cbtneb1001" localSheetId="11">#REF!</definedName>
    <definedName name="cbtneb1001" localSheetId="15">#REF!</definedName>
    <definedName name="cbtneb1001">#REF!</definedName>
    <definedName name="cbtopaz102" localSheetId="3">#REF!</definedName>
    <definedName name="cbtopaz102" localSheetId="4">#REF!</definedName>
    <definedName name="cbtopaz102" localSheetId="35">#REF!</definedName>
    <definedName name="cbtopaz102" localSheetId="14">#REF!</definedName>
    <definedName name="cbtopaz102" localSheetId="11">#REF!</definedName>
    <definedName name="cbtopaz102" localSheetId="15">#REF!</definedName>
    <definedName name="cbtopaz102">#REF!</definedName>
    <definedName name="cbtopaz202" localSheetId="3">#REF!</definedName>
    <definedName name="cbtopaz202" localSheetId="4">#REF!</definedName>
    <definedName name="cbtopaz202" localSheetId="35">#REF!</definedName>
    <definedName name="cbtopaz202" localSheetId="14">#REF!</definedName>
    <definedName name="cbtopaz202" localSheetId="11">#REF!</definedName>
    <definedName name="cbtopaz202" localSheetId="15">#REF!</definedName>
    <definedName name="cbtopaz202">#REF!</definedName>
    <definedName name="cbtopaz302" localSheetId="3">#REF!</definedName>
    <definedName name="cbtopaz302" localSheetId="4">#REF!</definedName>
    <definedName name="cbtopaz302" localSheetId="35">#REF!</definedName>
    <definedName name="cbtopaz302" localSheetId="14">#REF!</definedName>
    <definedName name="cbtopaz302" localSheetId="11">#REF!</definedName>
    <definedName name="cbtopaz302" localSheetId="15">#REF!</definedName>
    <definedName name="cbtopaz302">#REF!</definedName>
    <definedName name="cbUS1001" localSheetId="3">#REF!</definedName>
    <definedName name="cbUS1001" localSheetId="4">#REF!</definedName>
    <definedName name="cbUS1001" localSheetId="35">#REF!</definedName>
    <definedName name="cbUS1001" localSheetId="14">#REF!</definedName>
    <definedName name="cbUS1001" localSheetId="11">#REF!</definedName>
    <definedName name="cbUS1001" localSheetId="15">#REF!</definedName>
    <definedName name="cbUS1001">#REF!</definedName>
    <definedName name="cbUS102" localSheetId="3">#REF!</definedName>
    <definedName name="cbUS102" localSheetId="4">#REF!</definedName>
    <definedName name="cbUS102" localSheetId="35">#REF!</definedName>
    <definedName name="cbUS102" localSheetId="14">#REF!</definedName>
    <definedName name="cbUS102" localSheetId="11">#REF!</definedName>
    <definedName name="cbUS102" localSheetId="15">#REF!</definedName>
    <definedName name="cbUS102">#REF!</definedName>
    <definedName name="cbUS1101" localSheetId="3">#REF!</definedName>
    <definedName name="cbUS1101" localSheetId="4">#REF!</definedName>
    <definedName name="cbUS1101" localSheetId="35">#REF!</definedName>
    <definedName name="cbUS1101" localSheetId="14">#REF!</definedName>
    <definedName name="cbUS1101" localSheetId="11">#REF!</definedName>
    <definedName name="cbUS1101" localSheetId="15">#REF!</definedName>
    <definedName name="cbUS1101">#REF!</definedName>
    <definedName name="cbUS1201" localSheetId="3">#REF!</definedName>
    <definedName name="cbUS1201" localSheetId="4">#REF!</definedName>
    <definedName name="cbUS1201" localSheetId="35">#REF!</definedName>
    <definedName name="cbUS1201" localSheetId="14">#REF!</definedName>
    <definedName name="cbUS1201" localSheetId="11">#REF!</definedName>
    <definedName name="cbUS1201" localSheetId="15">#REF!</definedName>
    <definedName name="cbUS1201">#REF!</definedName>
    <definedName name="cbUS202" localSheetId="3">#REF!</definedName>
    <definedName name="cbUS202" localSheetId="4">#REF!</definedName>
    <definedName name="cbUS202" localSheetId="35">#REF!</definedName>
    <definedName name="cbUS202" localSheetId="14">#REF!</definedName>
    <definedName name="cbUS202" localSheetId="11">#REF!</definedName>
    <definedName name="cbUS202" localSheetId="15">#REF!</definedName>
    <definedName name="cbUS202">#REF!</definedName>
    <definedName name="cbUS302" localSheetId="3">#REF!</definedName>
    <definedName name="cbUS302" localSheetId="4">#REF!</definedName>
    <definedName name="cbUS302" localSheetId="35">#REF!</definedName>
    <definedName name="cbUS302" localSheetId="14">#REF!</definedName>
    <definedName name="cbUS302" localSheetId="11">#REF!</definedName>
    <definedName name="cbUS302" localSheetId="15">#REF!</definedName>
    <definedName name="cbUS302">#REF!</definedName>
    <definedName name="cbwreb1001" localSheetId="3">#REF!</definedName>
    <definedName name="cbwreb1001" localSheetId="4">#REF!</definedName>
    <definedName name="cbwreb1001" localSheetId="35">#REF!</definedName>
    <definedName name="cbwreb1001" localSheetId="14">#REF!</definedName>
    <definedName name="cbwreb1001" localSheetId="11">#REF!</definedName>
    <definedName name="cbwreb1001" localSheetId="15">#REF!</definedName>
    <definedName name="cbwreb1001">#REF!</definedName>
    <definedName name="cbwreb102" localSheetId="3">#REF!</definedName>
    <definedName name="cbwreb102" localSheetId="4">#REF!</definedName>
    <definedName name="cbwreb102" localSheetId="35">#REF!</definedName>
    <definedName name="cbwreb102" localSheetId="14">#REF!</definedName>
    <definedName name="cbwreb102" localSheetId="11">#REF!</definedName>
    <definedName name="cbwreb102" localSheetId="15">#REF!</definedName>
    <definedName name="cbwreb102">#REF!</definedName>
    <definedName name="cbwreb1101" localSheetId="3">#REF!</definedName>
    <definedName name="cbwreb1101" localSheetId="4">#REF!</definedName>
    <definedName name="cbwreb1101" localSheetId="35">#REF!</definedName>
    <definedName name="cbwreb1101" localSheetId="14">#REF!</definedName>
    <definedName name="cbwreb1101" localSheetId="11">#REF!</definedName>
    <definedName name="cbwreb1101" localSheetId="15">#REF!</definedName>
    <definedName name="cbwreb1101">#REF!</definedName>
    <definedName name="cbwreb1201" localSheetId="3">#REF!</definedName>
    <definedName name="cbwreb1201" localSheetId="4">#REF!</definedName>
    <definedName name="cbwreb1201" localSheetId="35">#REF!</definedName>
    <definedName name="cbwreb1201" localSheetId="14">#REF!</definedName>
    <definedName name="cbwreb1201" localSheetId="11">#REF!</definedName>
    <definedName name="cbwreb1201" localSheetId="15">#REF!</definedName>
    <definedName name="cbwreb1201">#REF!</definedName>
    <definedName name="cbwreb202" localSheetId="3">#REF!</definedName>
    <definedName name="cbwreb202" localSheetId="4">#REF!</definedName>
    <definedName name="cbwreb202" localSheetId="35">#REF!</definedName>
    <definedName name="cbwreb202" localSheetId="14">#REF!</definedName>
    <definedName name="cbwreb202" localSheetId="11">#REF!</definedName>
    <definedName name="cbwreb202" localSheetId="15">#REF!</definedName>
    <definedName name="cbwreb202">#REF!</definedName>
    <definedName name="cbwreb302" localSheetId="3">#REF!</definedName>
    <definedName name="cbwreb302" localSheetId="4">#REF!</definedName>
    <definedName name="cbwreb302" localSheetId="35">#REF!</definedName>
    <definedName name="cbwreb302" localSheetId="14">#REF!</definedName>
    <definedName name="cbwreb302" localSheetId="11">#REF!</definedName>
    <definedName name="cbwreb302" localSheetId="15">#REF!</definedName>
    <definedName name="cbwreb302">#REF!</definedName>
    <definedName name="cbwreb401" localSheetId="3">#REF!</definedName>
    <definedName name="cbwreb401" localSheetId="4">#REF!</definedName>
    <definedName name="cbwreb401" localSheetId="35">#REF!</definedName>
    <definedName name="cbwreb401" localSheetId="14">#REF!</definedName>
    <definedName name="cbwreb401" localSheetId="11">#REF!</definedName>
    <definedName name="cbwreb401" localSheetId="15">#REF!</definedName>
    <definedName name="cbwreb401">#REF!</definedName>
    <definedName name="cbwreb501" localSheetId="3">#REF!</definedName>
    <definedName name="cbwreb501" localSheetId="4">#REF!</definedName>
    <definedName name="cbwreb501" localSheetId="35">#REF!</definedName>
    <definedName name="cbwreb501" localSheetId="14">#REF!</definedName>
    <definedName name="cbwreb501" localSheetId="11">#REF!</definedName>
    <definedName name="cbwreb501" localSheetId="15">#REF!</definedName>
    <definedName name="cbwreb501">#REF!</definedName>
    <definedName name="cbwreb601" localSheetId="3">#REF!</definedName>
    <definedName name="cbwreb601" localSheetId="4">#REF!</definedName>
    <definedName name="cbwreb601" localSheetId="35">#REF!</definedName>
    <definedName name="cbwreb601" localSheetId="14">#REF!</definedName>
    <definedName name="cbwreb601" localSheetId="11">#REF!</definedName>
    <definedName name="cbwreb601" localSheetId="15">#REF!</definedName>
    <definedName name="cbwreb601">#REF!</definedName>
    <definedName name="cbwreb701" localSheetId="3">#REF!</definedName>
    <definedName name="cbwreb701" localSheetId="4">#REF!</definedName>
    <definedName name="cbwreb701" localSheetId="35">#REF!</definedName>
    <definedName name="cbwreb701" localSheetId="14">#REF!</definedName>
    <definedName name="cbwreb701" localSheetId="11">#REF!</definedName>
    <definedName name="cbwreb701" localSheetId="15">#REF!</definedName>
    <definedName name="cbwreb701">#REF!</definedName>
    <definedName name="cbwreb801" localSheetId="3">#REF!</definedName>
    <definedName name="cbwreb801" localSheetId="4">#REF!</definedName>
    <definedName name="cbwreb801" localSheetId="35">#REF!</definedName>
    <definedName name="cbwreb801" localSheetId="14">#REF!</definedName>
    <definedName name="cbwreb801" localSheetId="11">#REF!</definedName>
    <definedName name="cbwreb801" localSheetId="15">#REF!</definedName>
    <definedName name="cbwreb801">#REF!</definedName>
    <definedName name="cbwreb901" localSheetId="3">#REF!</definedName>
    <definedName name="cbwreb901" localSheetId="4">#REF!</definedName>
    <definedName name="cbwreb901" localSheetId="35">#REF!</definedName>
    <definedName name="cbwreb901" localSheetId="14">#REF!</definedName>
    <definedName name="cbwreb901" localSheetId="11">#REF!</definedName>
    <definedName name="cbwreb901" localSheetId="15">#REF!</definedName>
    <definedName name="cbwreb901">#REF!</definedName>
    <definedName name="ccon1001" localSheetId="3">#REF!</definedName>
    <definedName name="ccon1001" localSheetId="4">#REF!</definedName>
    <definedName name="ccon1001" localSheetId="35">#REF!</definedName>
    <definedName name="ccon1001" localSheetId="14">#REF!</definedName>
    <definedName name="ccon1001" localSheetId="11">#REF!</definedName>
    <definedName name="ccon1001" localSheetId="15">#REF!</definedName>
    <definedName name="ccon1001">#REF!</definedName>
    <definedName name="ccon102" localSheetId="3">#REF!</definedName>
    <definedName name="ccon102" localSheetId="4">#REF!</definedName>
    <definedName name="ccon102" localSheetId="35">#REF!</definedName>
    <definedName name="ccon102" localSheetId="14">#REF!</definedName>
    <definedName name="ccon102" localSheetId="11">#REF!</definedName>
    <definedName name="ccon102" localSheetId="15">#REF!</definedName>
    <definedName name="ccon102">#REF!</definedName>
    <definedName name="ccon1101" localSheetId="3">#REF!</definedName>
    <definedName name="ccon1101" localSheetId="4">#REF!</definedName>
    <definedName name="ccon1101" localSheetId="35">#REF!</definedName>
    <definedName name="ccon1101" localSheetId="14">#REF!</definedName>
    <definedName name="ccon1101" localSheetId="11">#REF!</definedName>
    <definedName name="ccon1101" localSheetId="15">#REF!</definedName>
    <definedName name="ccon1101">#REF!</definedName>
    <definedName name="ccon1201" localSheetId="3">#REF!</definedName>
    <definedName name="ccon1201" localSheetId="4">#REF!</definedName>
    <definedName name="ccon1201" localSheetId="35">#REF!</definedName>
    <definedName name="ccon1201" localSheetId="14">#REF!</definedName>
    <definedName name="ccon1201" localSheetId="11">#REF!</definedName>
    <definedName name="ccon1201" localSheetId="15">#REF!</definedName>
    <definedName name="ccon1201">#REF!</definedName>
    <definedName name="ccon202" localSheetId="3">#REF!</definedName>
    <definedName name="ccon202" localSheetId="4">#REF!</definedName>
    <definedName name="ccon202" localSheetId="35">#REF!</definedName>
    <definedName name="ccon202" localSheetId="14">#REF!</definedName>
    <definedName name="ccon202" localSheetId="11">#REF!</definedName>
    <definedName name="ccon202" localSheetId="15">#REF!</definedName>
    <definedName name="ccon202">#REF!</definedName>
    <definedName name="ccon302" localSheetId="3">#REF!</definedName>
    <definedName name="ccon302" localSheetId="4">#REF!</definedName>
    <definedName name="ccon302" localSheetId="35">#REF!</definedName>
    <definedName name="ccon302" localSheetId="14">#REF!</definedName>
    <definedName name="ccon302" localSheetId="11">#REF!</definedName>
    <definedName name="ccon302" localSheetId="15">#REF!</definedName>
    <definedName name="ccon302">#REF!</definedName>
    <definedName name="ccon401" localSheetId="3">#REF!</definedName>
    <definedName name="ccon401" localSheetId="4">#REF!</definedName>
    <definedName name="ccon401" localSheetId="35">#REF!</definedName>
    <definedName name="ccon401" localSheetId="14">#REF!</definedName>
    <definedName name="ccon401" localSheetId="11">#REF!</definedName>
    <definedName name="ccon401" localSheetId="15">#REF!</definedName>
    <definedName name="ccon401">#REF!</definedName>
    <definedName name="ccon501" localSheetId="3">#REF!</definedName>
    <definedName name="ccon501" localSheetId="4">#REF!</definedName>
    <definedName name="ccon501" localSheetId="35">#REF!</definedName>
    <definedName name="ccon501" localSheetId="14">#REF!</definedName>
    <definedName name="ccon501" localSheetId="11">#REF!</definedName>
    <definedName name="ccon501" localSheetId="15">#REF!</definedName>
    <definedName name="ccon501">#REF!</definedName>
    <definedName name="ccon601" localSheetId="3">#REF!</definedName>
    <definedName name="ccon601" localSheetId="4">#REF!</definedName>
    <definedName name="ccon601" localSheetId="35">#REF!</definedName>
    <definedName name="ccon601" localSheetId="14">#REF!</definedName>
    <definedName name="ccon601" localSheetId="11">#REF!</definedName>
    <definedName name="ccon601" localSheetId="15">#REF!</definedName>
    <definedName name="ccon601">#REF!</definedName>
    <definedName name="ccon701" localSheetId="3">#REF!</definedName>
    <definedName name="ccon701" localSheetId="4">#REF!</definedName>
    <definedName name="ccon701" localSheetId="35">#REF!</definedName>
    <definedName name="ccon701" localSheetId="14">#REF!</definedName>
    <definedName name="ccon701" localSheetId="11">#REF!</definedName>
    <definedName name="ccon701" localSheetId="15">#REF!</definedName>
    <definedName name="ccon701">#REF!</definedName>
    <definedName name="ccon801" localSheetId="3">#REF!</definedName>
    <definedName name="ccon801" localSheetId="4">#REF!</definedName>
    <definedName name="ccon801" localSheetId="35">#REF!</definedName>
    <definedName name="ccon801" localSheetId="14">#REF!</definedName>
    <definedName name="ccon801" localSheetId="11">#REF!</definedName>
    <definedName name="ccon801" localSheetId="15">#REF!</definedName>
    <definedName name="ccon801">#REF!</definedName>
    <definedName name="ccon901" localSheetId="3">#REF!</definedName>
    <definedName name="ccon901" localSheetId="4">#REF!</definedName>
    <definedName name="ccon901" localSheetId="35">#REF!</definedName>
    <definedName name="ccon901" localSheetId="14">#REF!</definedName>
    <definedName name="ccon901" localSheetId="11">#REF!</definedName>
    <definedName name="ccon901" localSheetId="15">#REF!</definedName>
    <definedName name="ccon901">#REF!</definedName>
    <definedName name="ccost1001" localSheetId="3">#REF!</definedName>
    <definedName name="ccost1001" localSheetId="4">#REF!</definedName>
    <definedName name="ccost1001" localSheetId="35">#REF!</definedName>
    <definedName name="ccost1001" localSheetId="14">#REF!</definedName>
    <definedName name="ccost1001" localSheetId="11">#REF!</definedName>
    <definedName name="ccost1001" localSheetId="15">#REF!</definedName>
    <definedName name="ccost1001">#REF!</definedName>
    <definedName name="ccost102" localSheetId="3">#REF!</definedName>
    <definedName name="ccost102" localSheetId="4">#REF!</definedName>
    <definedName name="ccost102" localSheetId="35">#REF!</definedName>
    <definedName name="ccost102" localSheetId="14">#REF!</definedName>
    <definedName name="ccost102" localSheetId="11">#REF!</definedName>
    <definedName name="ccost102" localSheetId="15">#REF!</definedName>
    <definedName name="ccost102">#REF!</definedName>
    <definedName name="ccost1101" localSheetId="3">#REF!</definedName>
    <definedName name="ccost1101" localSheetId="4">#REF!</definedName>
    <definedName name="ccost1101" localSheetId="35">#REF!</definedName>
    <definedName name="ccost1101" localSheetId="14">#REF!</definedName>
    <definedName name="ccost1101" localSheetId="11">#REF!</definedName>
    <definedName name="ccost1101" localSheetId="15">#REF!</definedName>
    <definedName name="ccost1101">#REF!</definedName>
    <definedName name="ccost1201" localSheetId="3">#REF!</definedName>
    <definedName name="ccost1201" localSheetId="4">#REF!</definedName>
    <definedName name="ccost1201" localSheetId="35">#REF!</definedName>
    <definedName name="ccost1201" localSheetId="14">#REF!</definedName>
    <definedName name="ccost1201" localSheetId="11">#REF!</definedName>
    <definedName name="ccost1201" localSheetId="15">#REF!</definedName>
    <definedName name="ccost1201">#REF!</definedName>
    <definedName name="ccost202" localSheetId="3">#REF!</definedName>
    <definedName name="ccost202" localSheetId="4">#REF!</definedName>
    <definedName name="ccost202" localSheetId="35">#REF!</definedName>
    <definedName name="ccost202" localSheetId="14">#REF!</definedName>
    <definedName name="ccost202" localSheetId="11">#REF!</definedName>
    <definedName name="ccost202" localSheetId="15">#REF!</definedName>
    <definedName name="ccost202">#REF!</definedName>
    <definedName name="ccost302" localSheetId="3">#REF!</definedName>
    <definedName name="ccost302" localSheetId="4">#REF!</definedName>
    <definedName name="ccost302" localSheetId="35">#REF!</definedName>
    <definedName name="ccost302" localSheetId="14">#REF!</definedName>
    <definedName name="ccost302" localSheetId="11">#REF!</definedName>
    <definedName name="ccost302" localSheetId="15">#REF!</definedName>
    <definedName name="ccost302">#REF!</definedName>
    <definedName name="ccost401" localSheetId="3">#REF!</definedName>
    <definedName name="ccost401" localSheetId="4">#REF!</definedName>
    <definedName name="ccost401" localSheetId="35">#REF!</definedName>
    <definedName name="ccost401" localSheetId="14">#REF!</definedName>
    <definedName name="ccost401" localSheetId="11">#REF!</definedName>
    <definedName name="ccost401" localSheetId="15">#REF!</definedName>
    <definedName name="ccost401">#REF!</definedName>
    <definedName name="ccost501" localSheetId="3">#REF!</definedName>
    <definedName name="ccost501" localSheetId="4">#REF!</definedName>
    <definedName name="ccost501" localSheetId="35">#REF!</definedName>
    <definedName name="ccost501" localSheetId="14">#REF!</definedName>
    <definedName name="ccost501" localSheetId="11">#REF!</definedName>
    <definedName name="ccost501" localSheetId="15">#REF!</definedName>
    <definedName name="ccost501">#REF!</definedName>
    <definedName name="ccost601" localSheetId="3">#REF!</definedName>
    <definedName name="ccost601" localSheetId="4">#REF!</definedName>
    <definedName name="ccost601" localSheetId="35">#REF!</definedName>
    <definedName name="ccost601" localSheetId="14">#REF!</definedName>
    <definedName name="ccost601" localSheetId="11">#REF!</definedName>
    <definedName name="ccost601" localSheetId="15">#REF!</definedName>
    <definedName name="ccost601">#REF!</definedName>
    <definedName name="ccost701" localSheetId="3">#REF!</definedName>
    <definedName name="ccost701" localSheetId="4">#REF!</definedName>
    <definedName name="ccost701" localSheetId="35">#REF!</definedName>
    <definedName name="ccost701" localSheetId="14">#REF!</definedName>
    <definedName name="ccost701" localSheetId="11">#REF!</definedName>
    <definedName name="ccost701" localSheetId="15">#REF!</definedName>
    <definedName name="ccost701">#REF!</definedName>
    <definedName name="ccost801" localSheetId="3">#REF!</definedName>
    <definedName name="ccost801" localSheetId="4">#REF!</definedName>
    <definedName name="ccost801" localSheetId="35">#REF!</definedName>
    <definedName name="ccost801" localSheetId="14">#REF!</definedName>
    <definedName name="ccost801" localSheetId="11">#REF!</definedName>
    <definedName name="ccost801" localSheetId="15">#REF!</definedName>
    <definedName name="ccost801">#REF!</definedName>
    <definedName name="ccost901" localSheetId="3">#REF!</definedName>
    <definedName name="ccost901" localSheetId="4">#REF!</definedName>
    <definedName name="ccost901" localSheetId="35">#REF!</definedName>
    <definedName name="ccost901" localSheetId="14">#REF!</definedName>
    <definedName name="ccost901" localSheetId="11">#REF!</definedName>
    <definedName name="ccost901" localSheetId="15">#REF!</definedName>
    <definedName name="ccost901">#REF!</definedName>
    <definedName name="contothydal1000" localSheetId="3">#REF!</definedName>
    <definedName name="contothydal1000" localSheetId="4">#REF!</definedName>
    <definedName name="contothydal1000" localSheetId="35">#REF!</definedName>
    <definedName name="contothydal1000" localSheetId="14">#REF!</definedName>
    <definedName name="contothydal1000" localSheetId="11">#REF!</definedName>
    <definedName name="contothydal1000" localSheetId="15">#REF!</definedName>
    <definedName name="contothydal1000">#REF!</definedName>
    <definedName name="contothydal400" localSheetId="3">#REF!</definedName>
    <definedName name="contothydal400" localSheetId="4">#REF!</definedName>
    <definedName name="contothydal400" localSheetId="35">#REF!</definedName>
    <definedName name="contothydal400" localSheetId="14">#REF!</definedName>
    <definedName name="contothydal400" localSheetId="11">#REF!</definedName>
    <definedName name="contothydal400" localSheetId="15">#REF!</definedName>
    <definedName name="contothydal400">#REF!</definedName>
    <definedName name="contothydal500" localSheetId="3">#REF!</definedName>
    <definedName name="contothydal500" localSheetId="4">#REF!</definedName>
    <definedName name="contothydal500" localSheetId="35">#REF!</definedName>
    <definedName name="contothydal500" localSheetId="14">#REF!</definedName>
    <definedName name="contothydal500" localSheetId="11">#REF!</definedName>
    <definedName name="contothydal500" localSheetId="15">#REF!</definedName>
    <definedName name="contothydal500">#REF!</definedName>
    <definedName name="contothydal600" localSheetId="3">#REF!</definedName>
    <definedName name="contothydal600" localSheetId="4">#REF!</definedName>
    <definedName name="contothydal600" localSheetId="35">#REF!</definedName>
    <definedName name="contothydal600" localSheetId="14">#REF!</definedName>
    <definedName name="contothydal600" localSheetId="11">#REF!</definedName>
    <definedName name="contothydal600" localSheetId="15">#REF!</definedName>
    <definedName name="contothydal600">#REF!</definedName>
    <definedName name="contothydal700" localSheetId="3">#REF!</definedName>
    <definedName name="contothydal700" localSheetId="4">#REF!</definedName>
    <definedName name="contothydal700" localSheetId="35">#REF!</definedName>
    <definedName name="contothydal700" localSheetId="14">#REF!</definedName>
    <definedName name="contothydal700" localSheetId="11">#REF!</definedName>
    <definedName name="contothydal700" localSheetId="15">#REF!</definedName>
    <definedName name="contothydal700">#REF!</definedName>
    <definedName name="contothydal800" localSheetId="3">#REF!</definedName>
    <definedName name="contothydal800" localSheetId="4">#REF!</definedName>
    <definedName name="contothydal800" localSheetId="35">#REF!</definedName>
    <definedName name="contothydal800" localSheetId="14">#REF!</definedName>
    <definedName name="contothydal800" localSheetId="11">#REF!</definedName>
    <definedName name="contothydal800" localSheetId="15">#REF!</definedName>
    <definedName name="contothydal800">#REF!</definedName>
    <definedName name="contothydal900" localSheetId="3">#REF!</definedName>
    <definedName name="contothydal900" localSheetId="4">#REF!</definedName>
    <definedName name="contothydal900" localSheetId="35">#REF!</definedName>
    <definedName name="contothydal900" localSheetId="14">#REF!</definedName>
    <definedName name="contothydal900" localSheetId="11">#REF!</definedName>
    <definedName name="contothydal900" localSheetId="15">#REF!</definedName>
    <definedName name="contothydal900">#REF!</definedName>
    <definedName name="contotthermal1000" localSheetId="3">#REF!</definedName>
    <definedName name="contotthermal1000" localSheetId="4">#REF!</definedName>
    <definedName name="contotthermal1000" localSheetId="35">#REF!</definedName>
    <definedName name="contotthermal1000" localSheetId="14">#REF!</definedName>
    <definedName name="contotthermal1000" localSheetId="11">#REF!</definedName>
    <definedName name="contotthermal1000" localSheetId="15">#REF!</definedName>
    <definedName name="contotthermal1000">#REF!</definedName>
    <definedName name="contotthermal400" localSheetId="3">#REF!</definedName>
    <definedName name="contotthermal400" localSheetId="4">#REF!</definedName>
    <definedName name="contotthermal400" localSheetId="35">#REF!</definedName>
    <definedName name="contotthermal400" localSheetId="14">#REF!</definedName>
    <definedName name="contotthermal400" localSheetId="11">#REF!</definedName>
    <definedName name="contotthermal400" localSheetId="15">#REF!</definedName>
    <definedName name="contotthermal400">#REF!</definedName>
    <definedName name="contotthermal500" localSheetId="3">#REF!</definedName>
    <definedName name="contotthermal500" localSheetId="4">#REF!</definedName>
    <definedName name="contotthermal500" localSheetId="35">#REF!</definedName>
    <definedName name="contotthermal500" localSheetId="14">#REF!</definedName>
    <definedName name="contotthermal500" localSheetId="11">#REF!</definedName>
    <definedName name="contotthermal500" localSheetId="15">#REF!</definedName>
    <definedName name="contotthermal500">#REF!</definedName>
    <definedName name="contotthermal600" localSheetId="3">#REF!</definedName>
    <definedName name="contotthermal600" localSheetId="4">#REF!</definedName>
    <definedName name="contotthermal600" localSheetId="35">#REF!</definedName>
    <definedName name="contotthermal600" localSheetId="14">#REF!</definedName>
    <definedName name="contotthermal600" localSheetId="11">#REF!</definedName>
    <definedName name="contotthermal600" localSheetId="15">#REF!</definedName>
    <definedName name="contotthermal600">#REF!</definedName>
    <definedName name="contotthermal700" localSheetId="3">#REF!</definedName>
    <definedName name="contotthermal700" localSheetId="4">#REF!</definedName>
    <definedName name="contotthermal700" localSheetId="35">#REF!</definedName>
    <definedName name="contotthermal700" localSheetId="14">#REF!</definedName>
    <definedName name="contotthermal700" localSheetId="11">#REF!</definedName>
    <definedName name="contotthermal700" localSheetId="15">#REF!</definedName>
    <definedName name="contotthermal700">#REF!</definedName>
    <definedName name="contotthermal800" localSheetId="3">#REF!</definedName>
    <definedName name="contotthermal800" localSheetId="4">#REF!</definedName>
    <definedName name="contotthermal800" localSheetId="35">#REF!</definedName>
    <definedName name="contotthermal800" localSheetId="14">#REF!</definedName>
    <definedName name="contotthermal800" localSheetId="11">#REF!</definedName>
    <definedName name="contotthermal800" localSheetId="15">#REF!</definedName>
    <definedName name="contotthermal800">#REF!</definedName>
    <definedName name="contotthermal900" localSheetId="3">#REF!</definedName>
    <definedName name="contotthermal900" localSheetId="4">#REF!</definedName>
    <definedName name="contotthermal900" localSheetId="35">#REF!</definedName>
    <definedName name="contotthermal900" localSheetId="14">#REF!</definedName>
    <definedName name="contotthermal900" localSheetId="11">#REF!</definedName>
    <definedName name="contotthermal900" localSheetId="15">#REF!</definedName>
    <definedName name="contotthermal900">#REF!</definedName>
    <definedName name="Gerusoppa" localSheetId="3">#REF!</definedName>
    <definedName name="Gerusoppa" localSheetId="4">#REF!</definedName>
    <definedName name="Gerusoppa" localSheetId="35">#REF!</definedName>
    <definedName name="Gerusoppa" localSheetId="14">#REF!</definedName>
    <definedName name="Gerusoppa" localSheetId="11">#REF!</definedName>
    <definedName name="Gerusoppa" localSheetId="15">#REF!</definedName>
    <definedName name="Gerusoppa">#REF!</definedName>
    <definedName name="OLE_LINK6" localSheetId="35">#REF!</definedName>
    <definedName name="OLE_LINK6" localSheetId="11">#REF!</definedName>
    <definedName name="OLE_LINK6" localSheetId="15">#REF!</definedName>
    <definedName name="OLE_LINK6">#REF!</definedName>
    <definedName name="_xlnm.Print_Area" localSheetId="2">'A-1'!$A$3:$B$50</definedName>
    <definedName name="_xlnm.Print_Area" localSheetId="3">'A-2 (2)'!$A$1:$C$65</definedName>
    <definedName name="_xlnm.Print_Area" localSheetId="4">'A-3 (2)'!$A$1:$B$74</definedName>
    <definedName name="_xlnm.Print_Area" localSheetId="5">'A-4'!$C$1:$E$15</definedName>
    <definedName name="_xlnm.Print_Area" localSheetId="25">'D-10'!$A$1:$C$19</definedName>
    <definedName name="_xlnm.Print_Area" localSheetId="26">'D-11'!$A$2:$B$18</definedName>
    <definedName name="_xlnm.Print_Area" localSheetId="27">'D-12'!$A$1:$B$14</definedName>
    <definedName name="_xlnm.Print_Area" localSheetId="28">'D-13'!$A$1:$B$19</definedName>
    <definedName name="_xlnm.Print_Area" localSheetId="29">'D-14'!$A$1:$B$18</definedName>
    <definedName name="_xlnm.Print_Area" localSheetId="30">'D-15'!$A$2:$B$25</definedName>
    <definedName name="_xlnm.Print_Area" localSheetId="31">'D-16'!$A$1:$B$25</definedName>
    <definedName name="_xlnm.Print_Area" localSheetId="32">'D-17'!$A$2:$A$18</definedName>
    <definedName name="_xlnm.Print_Area" localSheetId="33">'D-18'!$A$1:$L$32</definedName>
    <definedName name="_xlnm.Print_Area" localSheetId="34">'D-18A'!$A$1:$N$34</definedName>
    <definedName name="_xlnm.Print_Area" localSheetId="14">'D1FY-22'!$A$1:$P$114</definedName>
    <definedName name="_xlnm.Print_Area" localSheetId="16">'D-3'!$A$1:$B$16</definedName>
    <definedName name="_xlnm.Print_Area" localSheetId="17">'D-4'!$A$1:$B$40</definedName>
    <definedName name="_xlnm.Print_Area" localSheetId="18">'D-5'!$A$1:$B$27</definedName>
    <definedName name="_xlnm.Print_Area" localSheetId="19">'D-6'!$A$1:$B$28</definedName>
    <definedName name="_xlnm.Print_Area" localSheetId="20">'D-6A'!$A$1:$B$24</definedName>
    <definedName name="_xlnm.Print_Area" localSheetId="21">'D-7'!$A$1:$B$36</definedName>
    <definedName name="_xlnm.Print_Area" localSheetId="22">'D-8'!$A$1:$B$29</definedName>
    <definedName name="_xlnm.Print_Area" localSheetId="23">'D-9'!$A$1:$B$100</definedName>
    <definedName name="_xlnm.Print_Area" localSheetId="24">'D-9A'!$B$1:$J$5</definedName>
    <definedName name="_xlnm.Print_Area" localSheetId="1">'RR-GAP'!$A$1:$B$52</definedName>
    <definedName name="_xlnm.Print_Area">#REF!</definedName>
    <definedName name="_xlnm.Print_Titles" localSheetId="4">'A-3 (2)'!$6:$7</definedName>
    <definedName name="_xlnm.Print_Titles" localSheetId="14">'D1FY-22'!$1:$4</definedName>
    <definedName name="_xlnm.Print_Titles">#REF!</definedName>
    <definedName name="RTPS_Ist___2nd_Unit" localSheetId="3">#REF!</definedName>
    <definedName name="RTPS_Ist___2nd_Unit" localSheetId="4">#REF!</definedName>
    <definedName name="RTPS_Ist___2nd_Unit" localSheetId="35">#REF!</definedName>
    <definedName name="RTPS_Ist___2nd_Unit" localSheetId="14">#REF!</definedName>
    <definedName name="RTPS_Ist___2nd_Unit" localSheetId="11">#REF!</definedName>
    <definedName name="RTPS_Ist___2nd_Unit" localSheetId="15">#REF!</definedName>
    <definedName name="RTPS_Ist___2nd_Unit">#REF!</definedName>
    <definedName name="Z_23A957A0_E704_4A72_A26E_A4FA7FC4849F_.wvu.Cols" localSheetId="3" hidden="1">'A-2 (2)'!#REF!</definedName>
    <definedName name="Z_23A957A0_E704_4A72_A26E_A4FA7FC4849F_.wvu.Cols" localSheetId="4" hidden="1">'A-3 (2)'!#REF!</definedName>
    <definedName name="Z_23A957A0_E704_4A72_A26E_A4FA7FC4849F_.wvu.Cols" localSheetId="26" hidden="1">'D-11'!$A:$A</definedName>
    <definedName name="Z_23A957A0_E704_4A72_A26E_A4FA7FC4849F_.wvu.Cols" localSheetId="16" hidden="1">'D-3'!#REF!</definedName>
    <definedName name="Z_23A957A0_E704_4A72_A26E_A4FA7FC4849F_.wvu.Cols" localSheetId="18" hidden="1">'D-5'!#REF!</definedName>
    <definedName name="Z_23A957A0_E704_4A72_A26E_A4FA7FC4849F_.wvu.Cols" localSheetId="19" hidden="1">'D-6'!#REF!</definedName>
    <definedName name="Z_23A957A0_E704_4A72_A26E_A4FA7FC4849F_.wvu.Cols" localSheetId="20" hidden="1">'D-6A'!#REF!</definedName>
    <definedName name="Z_23A957A0_E704_4A72_A26E_A4FA7FC4849F_.wvu.Cols" localSheetId="1" hidden="1">'RR-GAP'!#REF!</definedName>
    <definedName name="Z_23A957A0_E704_4A72_A26E_A4FA7FC4849F_.wvu.PrintArea" localSheetId="2" hidden="1">'A-1'!$A$3:$B$53</definedName>
    <definedName name="Z_23A957A0_E704_4A72_A26E_A4FA7FC4849F_.wvu.PrintArea" localSheetId="3" hidden="1">'A-2 (2)'!$A$1:$B$57</definedName>
    <definedName name="Z_23A957A0_E704_4A72_A26E_A4FA7FC4849F_.wvu.PrintArea" localSheetId="4" hidden="1">'A-3 (2)'!$A$1:$B$74</definedName>
    <definedName name="Z_23A957A0_E704_4A72_A26E_A4FA7FC4849F_.wvu.PrintArea" localSheetId="5" hidden="1">'A-4'!$C$1:$E$15</definedName>
    <definedName name="Z_23A957A0_E704_4A72_A26E_A4FA7FC4849F_.wvu.PrintArea" localSheetId="25" hidden="1">'D-10'!$A$1:$C$19</definedName>
    <definedName name="Z_23A957A0_E704_4A72_A26E_A4FA7FC4849F_.wvu.PrintArea" localSheetId="26" hidden="1">'D-11'!$A$2:$B$18</definedName>
    <definedName name="Z_23A957A0_E704_4A72_A26E_A4FA7FC4849F_.wvu.PrintArea" localSheetId="27" hidden="1">'D-12'!$A$1:$B$14</definedName>
    <definedName name="Z_23A957A0_E704_4A72_A26E_A4FA7FC4849F_.wvu.PrintArea" localSheetId="28" hidden="1">'D-13'!$A$1:$B$19</definedName>
    <definedName name="Z_23A957A0_E704_4A72_A26E_A4FA7FC4849F_.wvu.PrintArea" localSheetId="29" hidden="1">'D-14'!$A$1:$B$18</definedName>
    <definedName name="Z_23A957A0_E704_4A72_A26E_A4FA7FC4849F_.wvu.PrintArea" localSheetId="30" hidden="1">'D-15'!$A$2:$B$25</definedName>
    <definedName name="Z_23A957A0_E704_4A72_A26E_A4FA7FC4849F_.wvu.PrintArea" localSheetId="31" hidden="1">'D-16'!$A$1:$B$25</definedName>
    <definedName name="Z_23A957A0_E704_4A72_A26E_A4FA7FC4849F_.wvu.PrintArea" localSheetId="32" hidden="1">'D-17'!$A$2:$A$18</definedName>
    <definedName name="Z_23A957A0_E704_4A72_A26E_A4FA7FC4849F_.wvu.PrintArea" localSheetId="33" hidden="1">'D-18'!$A$1:$L$32</definedName>
    <definedName name="Z_23A957A0_E704_4A72_A26E_A4FA7FC4849F_.wvu.PrintArea" localSheetId="34" hidden="1">'D-18A'!$A$1:$N$34</definedName>
    <definedName name="Z_23A957A0_E704_4A72_A26E_A4FA7FC4849F_.wvu.PrintArea" localSheetId="16" hidden="1">'D-3'!$A$1:$B$16</definedName>
    <definedName name="Z_23A957A0_E704_4A72_A26E_A4FA7FC4849F_.wvu.PrintArea" localSheetId="17" hidden="1">'D-4'!$A$1:$B$40</definedName>
    <definedName name="Z_23A957A0_E704_4A72_A26E_A4FA7FC4849F_.wvu.PrintArea" localSheetId="18" hidden="1">'D-5'!$A$1:$B$27</definedName>
    <definedName name="Z_23A957A0_E704_4A72_A26E_A4FA7FC4849F_.wvu.PrintArea" localSheetId="19" hidden="1">'D-6'!$A$1:$B$28</definedName>
    <definedName name="Z_23A957A0_E704_4A72_A26E_A4FA7FC4849F_.wvu.PrintArea" localSheetId="20" hidden="1">'D-6A'!$A$1:$B$24</definedName>
    <definedName name="Z_23A957A0_E704_4A72_A26E_A4FA7FC4849F_.wvu.PrintArea" localSheetId="21" hidden="1">'D-7'!$A$1:$B$36</definedName>
    <definedName name="Z_23A957A0_E704_4A72_A26E_A4FA7FC4849F_.wvu.PrintArea" localSheetId="22" hidden="1">'D-8'!$A$1:$B$29</definedName>
    <definedName name="Z_23A957A0_E704_4A72_A26E_A4FA7FC4849F_.wvu.PrintArea" localSheetId="23" hidden="1">'D-9'!$A$1:$B$100</definedName>
    <definedName name="Z_23A957A0_E704_4A72_A26E_A4FA7FC4849F_.wvu.PrintArea" localSheetId="24" hidden="1">'D-9A'!$B$1:$J$5</definedName>
    <definedName name="Z_23A957A0_E704_4A72_A26E_A4FA7FC4849F_.wvu.PrintArea" localSheetId="1" hidden="1">'RR-GAP'!$A$1:$B$52</definedName>
    <definedName name="Z_23A957A0_E704_4A72_A26E_A4FA7FC4849F_.wvu.PrintTitles" localSheetId="4" hidden="1">'A-3 (2)'!$6:$7</definedName>
    <definedName name="Z_23A957A0_E704_4A72_A26E_A4FA7FC4849F_.wvu.PrintTitles" localSheetId="15" hidden="1">#REF!</definedName>
    <definedName name="Z_23A957A0_E704_4A72_A26E_A4FA7FC4849F_.wvu.PrintTitles" hidden="1">#REF!</definedName>
    <definedName name="Z_5FF41722_DC20_49D9_9ED5_FEC8C9404ECB_.wvu.Cols" localSheetId="3" hidden="1">'A-2 (2)'!#REF!</definedName>
    <definedName name="Z_5FF41722_DC20_49D9_9ED5_FEC8C9404ECB_.wvu.Cols" localSheetId="4" hidden="1">'A-3 (2)'!#REF!</definedName>
    <definedName name="Z_5FF41722_DC20_49D9_9ED5_FEC8C9404ECB_.wvu.Cols" localSheetId="26" hidden="1">'D-11'!$A:$A</definedName>
    <definedName name="Z_5FF41722_DC20_49D9_9ED5_FEC8C9404ECB_.wvu.Cols" localSheetId="16" hidden="1">'D-3'!#REF!</definedName>
    <definedName name="Z_5FF41722_DC20_49D9_9ED5_FEC8C9404ECB_.wvu.Cols" localSheetId="18" hidden="1">'D-5'!#REF!</definedName>
    <definedName name="Z_5FF41722_DC20_49D9_9ED5_FEC8C9404ECB_.wvu.Cols" localSheetId="19" hidden="1">'D-6'!#REF!</definedName>
    <definedName name="Z_5FF41722_DC20_49D9_9ED5_FEC8C9404ECB_.wvu.Cols" localSheetId="20" hidden="1">'D-6A'!#REF!</definedName>
    <definedName name="Z_5FF41722_DC20_49D9_9ED5_FEC8C9404ECB_.wvu.Cols" localSheetId="1" hidden="1">'RR-GAP'!#REF!</definedName>
    <definedName name="Z_5FF41722_DC20_49D9_9ED5_FEC8C9404ECB_.wvu.PrintArea" localSheetId="2" hidden="1">'A-1'!$A$3:$B$53</definedName>
    <definedName name="Z_5FF41722_DC20_49D9_9ED5_FEC8C9404ECB_.wvu.PrintArea" localSheetId="3" hidden="1">'A-2 (2)'!$A$1:$B$57</definedName>
    <definedName name="Z_5FF41722_DC20_49D9_9ED5_FEC8C9404ECB_.wvu.PrintArea" localSheetId="4" hidden="1">'A-3 (2)'!$A$1:$B$74</definedName>
    <definedName name="Z_5FF41722_DC20_49D9_9ED5_FEC8C9404ECB_.wvu.PrintArea" localSheetId="5" hidden="1">'A-4'!$C$1:$E$15</definedName>
    <definedName name="Z_5FF41722_DC20_49D9_9ED5_FEC8C9404ECB_.wvu.PrintArea" localSheetId="25" hidden="1">'D-10'!$A$1:$C$19</definedName>
    <definedName name="Z_5FF41722_DC20_49D9_9ED5_FEC8C9404ECB_.wvu.PrintArea" localSheetId="26" hidden="1">'D-11'!$A$2:$B$18</definedName>
    <definedName name="Z_5FF41722_DC20_49D9_9ED5_FEC8C9404ECB_.wvu.PrintArea" localSheetId="27" hidden="1">'D-12'!$A$1:$B$14</definedName>
    <definedName name="Z_5FF41722_DC20_49D9_9ED5_FEC8C9404ECB_.wvu.PrintArea" localSheetId="28" hidden="1">'D-13'!$A$1:$B$19</definedName>
    <definedName name="Z_5FF41722_DC20_49D9_9ED5_FEC8C9404ECB_.wvu.PrintArea" localSheetId="29" hidden="1">'D-14'!$A$1:$B$18</definedName>
    <definedName name="Z_5FF41722_DC20_49D9_9ED5_FEC8C9404ECB_.wvu.PrintArea" localSheetId="30" hidden="1">'D-15'!$A$2:$B$25</definedName>
    <definedName name="Z_5FF41722_DC20_49D9_9ED5_FEC8C9404ECB_.wvu.PrintArea" localSheetId="31" hidden="1">'D-16'!$A$1:$B$25</definedName>
    <definedName name="Z_5FF41722_DC20_49D9_9ED5_FEC8C9404ECB_.wvu.PrintArea" localSheetId="32" hidden="1">'D-17'!$A$2:$A$18</definedName>
    <definedName name="Z_5FF41722_DC20_49D9_9ED5_FEC8C9404ECB_.wvu.PrintArea" localSheetId="33" hidden="1">'D-18'!$A$1:$L$32</definedName>
    <definedName name="Z_5FF41722_DC20_49D9_9ED5_FEC8C9404ECB_.wvu.PrintArea" localSheetId="34" hidden="1">'D-18A'!$A$1:$N$34</definedName>
    <definedName name="Z_5FF41722_DC20_49D9_9ED5_FEC8C9404ECB_.wvu.PrintArea" localSheetId="16" hidden="1">'D-3'!$A$1:$B$16</definedName>
    <definedName name="Z_5FF41722_DC20_49D9_9ED5_FEC8C9404ECB_.wvu.PrintArea" localSheetId="17" hidden="1">'D-4'!$A$1:$B$40</definedName>
    <definedName name="Z_5FF41722_DC20_49D9_9ED5_FEC8C9404ECB_.wvu.PrintArea" localSheetId="18" hidden="1">'D-5'!$A$1:$B$27</definedName>
    <definedName name="Z_5FF41722_DC20_49D9_9ED5_FEC8C9404ECB_.wvu.PrintArea" localSheetId="19" hidden="1">'D-6'!$A$1:$B$28</definedName>
    <definedName name="Z_5FF41722_DC20_49D9_9ED5_FEC8C9404ECB_.wvu.PrintArea" localSheetId="20" hidden="1">'D-6A'!$A$1:$B$24</definedName>
    <definedName name="Z_5FF41722_DC20_49D9_9ED5_FEC8C9404ECB_.wvu.PrintArea" localSheetId="21" hidden="1">'D-7'!$A$1:$B$36</definedName>
    <definedName name="Z_5FF41722_DC20_49D9_9ED5_FEC8C9404ECB_.wvu.PrintArea" localSheetId="22" hidden="1">'D-8'!$A$1:$B$29</definedName>
    <definedName name="Z_5FF41722_DC20_49D9_9ED5_FEC8C9404ECB_.wvu.PrintArea" localSheetId="23" hidden="1">'D-9'!$A$1:$B$100</definedName>
    <definedName name="Z_5FF41722_DC20_49D9_9ED5_FEC8C9404ECB_.wvu.PrintArea" localSheetId="24" hidden="1">'D-9A'!$B$1:$J$5</definedName>
    <definedName name="Z_5FF41722_DC20_49D9_9ED5_FEC8C9404ECB_.wvu.PrintArea" localSheetId="1" hidden="1">'RR-GAP'!$A$1:$B$52</definedName>
    <definedName name="Z_5FF41722_DC20_49D9_9ED5_FEC8C9404ECB_.wvu.PrintTitles" localSheetId="4" hidden="1">'A-3 (2)'!$6:$7</definedName>
    <definedName name="Z_5FF41722_DC20_49D9_9ED5_FEC8C9404ECB_.wvu.PrintTitles" localSheetId="15" hidden="1">#REF!</definedName>
    <definedName name="Z_5FF41722_DC20_49D9_9ED5_FEC8C9404ECB_.wvu.PrintTitles" hidden="1">#REF!</definedName>
    <definedName name="Z_80837D84_6D11_4A5F_87D7_272A542EF21A_.wvu.Cols" localSheetId="3" hidden="1">'A-2 (2)'!#REF!</definedName>
    <definedName name="Z_80837D84_6D11_4A5F_87D7_272A542EF21A_.wvu.Cols" localSheetId="4" hidden="1">'A-3 (2)'!#REF!</definedName>
    <definedName name="Z_80837D84_6D11_4A5F_87D7_272A542EF21A_.wvu.Cols" localSheetId="26" hidden="1">'D-11'!$A:$A</definedName>
    <definedName name="Z_80837D84_6D11_4A5F_87D7_272A542EF21A_.wvu.Cols" localSheetId="16" hidden="1">'D-3'!#REF!</definedName>
    <definedName name="Z_80837D84_6D11_4A5F_87D7_272A542EF21A_.wvu.Cols" localSheetId="18" hidden="1">'D-5'!#REF!</definedName>
    <definedName name="Z_80837D84_6D11_4A5F_87D7_272A542EF21A_.wvu.Cols" localSheetId="19" hidden="1">'D-6'!#REF!</definedName>
    <definedName name="Z_80837D84_6D11_4A5F_87D7_272A542EF21A_.wvu.Cols" localSheetId="20" hidden="1">'D-6A'!#REF!</definedName>
    <definedName name="Z_80837D84_6D11_4A5F_87D7_272A542EF21A_.wvu.Cols" localSheetId="1" hidden="1">'RR-GAP'!#REF!</definedName>
    <definedName name="Z_80837D84_6D11_4A5F_87D7_272A542EF21A_.wvu.PrintArea" localSheetId="2" hidden="1">'A-1'!$A$3:$B$53</definedName>
    <definedName name="Z_80837D84_6D11_4A5F_87D7_272A542EF21A_.wvu.PrintArea" localSheetId="3" hidden="1">'A-2 (2)'!$A$1:$B$57</definedName>
    <definedName name="Z_80837D84_6D11_4A5F_87D7_272A542EF21A_.wvu.PrintArea" localSheetId="4" hidden="1">'A-3 (2)'!$A$1:$B$74</definedName>
    <definedName name="Z_80837D84_6D11_4A5F_87D7_272A542EF21A_.wvu.PrintArea" localSheetId="5" hidden="1">'A-4'!$C$1:$E$15</definedName>
    <definedName name="Z_80837D84_6D11_4A5F_87D7_272A542EF21A_.wvu.PrintArea" localSheetId="25" hidden="1">'D-10'!$A$1:$C$19</definedName>
    <definedName name="Z_80837D84_6D11_4A5F_87D7_272A542EF21A_.wvu.PrintArea" localSheetId="26" hidden="1">'D-11'!$A$2:$B$18</definedName>
    <definedName name="Z_80837D84_6D11_4A5F_87D7_272A542EF21A_.wvu.PrintArea" localSheetId="27" hidden="1">'D-12'!$A$1:$B$14</definedName>
    <definedName name="Z_80837D84_6D11_4A5F_87D7_272A542EF21A_.wvu.PrintArea" localSheetId="28" hidden="1">'D-13'!$A$1:$B$19</definedName>
    <definedName name="Z_80837D84_6D11_4A5F_87D7_272A542EF21A_.wvu.PrintArea" localSheetId="29" hidden="1">'D-14'!$A$1:$B$18</definedName>
    <definedName name="Z_80837D84_6D11_4A5F_87D7_272A542EF21A_.wvu.PrintArea" localSheetId="30" hidden="1">'D-15'!$A$2:$B$25</definedName>
    <definedName name="Z_80837D84_6D11_4A5F_87D7_272A542EF21A_.wvu.PrintArea" localSheetId="31" hidden="1">'D-16'!$A$1:$B$25</definedName>
    <definedName name="Z_80837D84_6D11_4A5F_87D7_272A542EF21A_.wvu.PrintArea" localSheetId="32" hidden="1">'D-17'!$A$2:$A$18</definedName>
    <definedName name="Z_80837D84_6D11_4A5F_87D7_272A542EF21A_.wvu.PrintArea" localSheetId="33" hidden="1">'D-18'!$A$1:$L$32</definedName>
    <definedName name="Z_80837D84_6D11_4A5F_87D7_272A542EF21A_.wvu.PrintArea" localSheetId="34" hidden="1">'D-18A'!$A$1:$N$34</definedName>
    <definedName name="Z_80837D84_6D11_4A5F_87D7_272A542EF21A_.wvu.PrintArea" localSheetId="16" hidden="1">'D-3'!$A$1:$B$16</definedName>
    <definedName name="Z_80837D84_6D11_4A5F_87D7_272A542EF21A_.wvu.PrintArea" localSheetId="17" hidden="1">'D-4'!$A$1:$B$40</definedName>
    <definedName name="Z_80837D84_6D11_4A5F_87D7_272A542EF21A_.wvu.PrintArea" localSheetId="18" hidden="1">'D-5'!$A$1:$B$27</definedName>
    <definedName name="Z_80837D84_6D11_4A5F_87D7_272A542EF21A_.wvu.PrintArea" localSheetId="19" hidden="1">'D-6'!$A$1:$B$28</definedName>
    <definedName name="Z_80837D84_6D11_4A5F_87D7_272A542EF21A_.wvu.PrintArea" localSheetId="20" hidden="1">'D-6A'!$A$1:$B$24</definedName>
    <definedName name="Z_80837D84_6D11_4A5F_87D7_272A542EF21A_.wvu.PrintArea" localSheetId="21" hidden="1">'D-7'!$A$1:$B$36</definedName>
    <definedName name="Z_80837D84_6D11_4A5F_87D7_272A542EF21A_.wvu.PrintArea" localSheetId="22" hidden="1">'D-8'!$A$1:$B$29</definedName>
    <definedName name="Z_80837D84_6D11_4A5F_87D7_272A542EF21A_.wvu.PrintArea" localSheetId="23" hidden="1">'D-9'!$A$1:$B$100</definedName>
    <definedName name="Z_80837D84_6D11_4A5F_87D7_272A542EF21A_.wvu.PrintArea" localSheetId="24" hidden="1">'D-9A'!$B$1:$J$5</definedName>
    <definedName name="Z_80837D84_6D11_4A5F_87D7_272A542EF21A_.wvu.PrintArea" localSheetId="1" hidden="1">'RR-GAP'!$A$1:$B$52</definedName>
    <definedName name="Z_80837D84_6D11_4A5F_87D7_272A542EF21A_.wvu.PrintTitles" localSheetId="4" hidden="1">'A-3 (2)'!$6:$7</definedName>
    <definedName name="Z_80837D84_6D11_4A5F_87D7_272A542EF21A_.wvu.PrintTitles" localSheetId="15" hidden="1">#REF!</definedName>
    <definedName name="Z_80837D84_6D11_4A5F_87D7_272A542EF21A_.wvu.PrintTitles" hidden="1">#REF!</definedName>
    <definedName name="Z_80837D84_6D11_4A5F_87D7_272A542EF21A_.wvu.Rows" localSheetId="15" hidden="1">#REF!</definedName>
    <definedName name="Z_80837D84_6D11_4A5F_87D7_272A542EF21A_.wvu.Rows" hidden="1">#REF!</definedName>
  </definedNames>
  <calcPr calcId="162913" fullCalcOnLoad="1"/>
  <customWorkbookViews>
    <customWorkbookView name="assump1" guid="{80837D84-6D11-4A5F-87D7-272A542EF21A}" maximized="1" windowWidth="1276" windowHeight="589" tabRatio="896" activeSheetId="100"/>
    <customWorkbookView name="assump2" guid="{5FF41722-DC20-49D9-9ED5-FEC8C9404ECB}" maximized="1" windowWidth="1276" windowHeight="589" tabRatio="896" activeSheetId="100"/>
    <customWorkbookView name="assump3" guid="{23A957A0-E704-4A72-A26E-A4FA7FC4849F}" maximized="1" windowWidth="1276" windowHeight="589" tabRatio="896" activeSheetId="100"/>
  </customWorkbookViews>
  <fileRecoveryPr autoRecover="0"/>
</workbook>
</file>

<file path=xl/calcChain.xml><?xml version="1.0" encoding="utf-8"?>
<calcChain xmlns="http://schemas.openxmlformats.org/spreadsheetml/2006/main">
  <c r="U4" i="165" l="1"/>
  <c r="T4" i="165"/>
  <c r="V4" i="165" s="1"/>
  <c r="R90" i="165"/>
  <c r="Z90" i="165"/>
  <c r="AD90" i="165"/>
  <c r="E10" i="125"/>
  <c r="F10" i="125"/>
  <c r="E11" i="125"/>
  <c r="F11" i="125"/>
  <c r="D11" i="125"/>
  <c r="D10" i="125"/>
  <c r="E9" i="125"/>
  <c r="F9" i="125"/>
  <c r="D9" i="125"/>
  <c r="C9" i="125"/>
  <c r="K40" i="166"/>
  <c r="J40" i="166"/>
  <c r="I40" i="166"/>
  <c r="H40" i="166"/>
  <c r="G40" i="166"/>
  <c r="F40" i="166"/>
  <c r="E40" i="166"/>
  <c r="L39" i="166"/>
  <c r="L38" i="166"/>
  <c r="L37" i="166"/>
  <c r="L36" i="166"/>
  <c r="K35" i="166"/>
  <c r="J35" i="166"/>
  <c r="H35" i="166"/>
  <c r="G35" i="166"/>
  <c r="F35" i="166"/>
  <c r="E35" i="166"/>
  <c r="K34" i="166"/>
  <c r="J34" i="166"/>
  <c r="H34" i="166"/>
  <c r="G34" i="166"/>
  <c r="F34" i="166"/>
  <c r="E34" i="166"/>
  <c r="L34" i="166" s="1"/>
  <c r="K33" i="166"/>
  <c r="J33" i="166"/>
  <c r="H33" i="166"/>
  <c r="G33" i="166"/>
  <c r="F33" i="166"/>
  <c r="E33" i="166"/>
  <c r="L32" i="166"/>
  <c r="L31" i="166"/>
  <c r="K30" i="166"/>
  <c r="J30" i="166"/>
  <c r="I30" i="166"/>
  <c r="H30" i="166"/>
  <c r="G30" i="166"/>
  <c r="F30" i="166"/>
  <c r="E30" i="166"/>
  <c r="L15" i="166"/>
  <c r="L14" i="166"/>
  <c r="L13" i="166"/>
  <c r="L12" i="166"/>
  <c r="L11" i="166"/>
  <c r="K10" i="166"/>
  <c r="J10" i="166"/>
  <c r="I10" i="166"/>
  <c r="H10" i="166"/>
  <c r="L10" i="166" s="1"/>
  <c r="G10" i="166"/>
  <c r="F10" i="166"/>
  <c r="E10" i="166"/>
  <c r="K9" i="166"/>
  <c r="J9" i="166"/>
  <c r="I9" i="166"/>
  <c r="H9" i="166"/>
  <c r="G9" i="166"/>
  <c r="F9" i="166"/>
  <c r="L9" i="166" s="1"/>
  <c r="E9" i="166"/>
  <c r="L8" i="166"/>
  <c r="L7" i="166"/>
  <c r="L6" i="166"/>
  <c r="L5" i="166"/>
  <c r="J43" i="143"/>
  <c r="J61" i="143"/>
  <c r="J70" i="143"/>
  <c r="O45" i="142"/>
  <c r="J38" i="143" s="1"/>
  <c r="M50" i="142"/>
  <c r="N50" i="142" s="1"/>
  <c r="O50" i="142" s="1"/>
  <c r="P28" i="23"/>
  <c r="P16" i="23"/>
  <c r="E120" i="170"/>
  <c r="O113" i="170"/>
  <c r="M110" i="170"/>
  <c r="D109" i="170"/>
  <c r="K107" i="170"/>
  <c r="J107" i="170"/>
  <c r="I107" i="170"/>
  <c r="G107" i="170"/>
  <c r="F106" i="170"/>
  <c r="H106" i="170" s="1"/>
  <c r="L106" i="170" s="1"/>
  <c r="E106" i="170"/>
  <c r="D106" i="170"/>
  <c r="D107" i="170" s="1"/>
  <c r="C106" i="170"/>
  <c r="C107" i="170" s="1"/>
  <c r="E104" i="170"/>
  <c r="F103" i="170"/>
  <c r="H103" i="170"/>
  <c r="L103" i="170" s="1"/>
  <c r="N103" i="170" s="1"/>
  <c r="O103" i="170" s="1"/>
  <c r="E103" i="170"/>
  <c r="M103" i="170"/>
  <c r="D103" i="170"/>
  <c r="D104" i="170"/>
  <c r="F102" i="170"/>
  <c r="H102" i="170" s="1"/>
  <c r="E102" i="170"/>
  <c r="M102" i="170"/>
  <c r="M104" i="170" s="1"/>
  <c r="D102" i="170"/>
  <c r="K99" i="170"/>
  <c r="K120" i="170" s="1"/>
  <c r="K100" i="170"/>
  <c r="J99" i="170"/>
  <c r="I99" i="170"/>
  <c r="G99" i="170"/>
  <c r="M98" i="170"/>
  <c r="L98" i="170"/>
  <c r="N98" i="170" s="1"/>
  <c r="O98" i="170" s="1"/>
  <c r="D98" i="170"/>
  <c r="M97" i="170"/>
  <c r="L97" i="170"/>
  <c r="N97" i="170" s="1"/>
  <c r="M96" i="170"/>
  <c r="L96" i="170"/>
  <c r="N96" i="170" s="1"/>
  <c r="O96" i="170" s="1"/>
  <c r="P96" i="170" s="1"/>
  <c r="M95" i="170"/>
  <c r="F95" i="170"/>
  <c r="H95" i="170" s="1"/>
  <c r="L95" i="170" s="1"/>
  <c r="N95" i="170" s="1"/>
  <c r="D95" i="170"/>
  <c r="M94" i="170"/>
  <c r="F94" i="170"/>
  <c r="D94" i="170"/>
  <c r="K89" i="170"/>
  <c r="J89" i="170"/>
  <c r="I89" i="170"/>
  <c r="G89" i="170"/>
  <c r="E89" i="170"/>
  <c r="E100" i="170" s="1"/>
  <c r="M88" i="170"/>
  <c r="F88" i="170"/>
  <c r="H88" i="170" s="1"/>
  <c r="L88" i="170" s="1"/>
  <c r="N88" i="170" s="1"/>
  <c r="O88" i="170" s="1"/>
  <c r="D88" i="170"/>
  <c r="M87" i="170"/>
  <c r="H87" i="170"/>
  <c r="L87" i="170" s="1"/>
  <c r="N87" i="170" s="1"/>
  <c r="F87" i="170"/>
  <c r="D87" i="170"/>
  <c r="D89" i="170"/>
  <c r="M86" i="170"/>
  <c r="O86" i="170" s="1"/>
  <c r="P86" i="170" s="1"/>
  <c r="L86" i="170"/>
  <c r="N86" i="170" s="1"/>
  <c r="D86" i="170"/>
  <c r="M85" i="170"/>
  <c r="H85" i="170"/>
  <c r="L85" i="170" s="1"/>
  <c r="N85" i="170" s="1"/>
  <c r="F85" i="170"/>
  <c r="D85" i="170"/>
  <c r="M84" i="170"/>
  <c r="H84" i="170"/>
  <c r="L84" i="170"/>
  <c r="N84" i="170" s="1"/>
  <c r="F84" i="170"/>
  <c r="D84" i="170"/>
  <c r="M83" i="170"/>
  <c r="H83" i="170"/>
  <c r="L83" i="170"/>
  <c r="N83" i="170" s="1"/>
  <c r="F83" i="170"/>
  <c r="D83" i="170"/>
  <c r="L82" i="170"/>
  <c r="D82" i="170"/>
  <c r="M81" i="170"/>
  <c r="O81" i="170" s="1"/>
  <c r="P81" i="170" s="1"/>
  <c r="F81" i="170"/>
  <c r="H81" i="170" s="1"/>
  <c r="L81" i="170" s="1"/>
  <c r="N81" i="170" s="1"/>
  <c r="D81" i="170"/>
  <c r="M80" i="170"/>
  <c r="F80" i="170"/>
  <c r="H80" i="170" s="1"/>
  <c r="L80" i="170" s="1"/>
  <c r="N80" i="170" s="1"/>
  <c r="D80" i="170"/>
  <c r="M79" i="170"/>
  <c r="F79" i="170"/>
  <c r="H79" i="170" s="1"/>
  <c r="L79" i="170" s="1"/>
  <c r="N79" i="170" s="1"/>
  <c r="D79" i="170"/>
  <c r="M78" i="170"/>
  <c r="F78" i="170"/>
  <c r="D78" i="170"/>
  <c r="M77" i="170"/>
  <c r="F77" i="170"/>
  <c r="H77" i="170" s="1"/>
  <c r="D77" i="170"/>
  <c r="K73" i="170"/>
  <c r="F72" i="170"/>
  <c r="E72" i="170"/>
  <c r="D72" i="170"/>
  <c r="D73" i="170" s="1"/>
  <c r="L69" i="170"/>
  <c r="N69" i="170" s="1"/>
  <c r="E69" i="170"/>
  <c r="M69" i="170"/>
  <c r="O69" i="170" s="1"/>
  <c r="M68" i="170"/>
  <c r="L68" i="170"/>
  <c r="N68" i="170" s="1"/>
  <c r="E68" i="170"/>
  <c r="F67" i="170"/>
  <c r="H67" i="170" s="1"/>
  <c r="L67" i="170" s="1"/>
  <c r="N67" i="170" s="1"/>
  <c r="E67" i="170"/>
  <c r="M67" i="170"/>
  <c r="O67" i="170" s="1"/>
  <c r="D67" i="170"/>
  <c r="C67" i="170"/>
  <c r="F66" i="170"/>
  <c r="H66" i="170" s="1"/>
  <c r="E66" i="170"/>
  <c r="M66" i="170" s="1"/>
  <c r="D66" i="170"/>
  <c r="C66" i="170"/>
  <c r="G65" i="170"/>
  <c r="F65" i="170"/>
  <c r="E65" i="170"/>
  <c r="M65" i="170" s="1"/>
  <c r="D65" i="170"/>
  <c r="C65" i="170"/>
  <c r="G64" i="170"/>
  <c r="F64" i="170"/>
  <c r="H64" i="170"/>
  <c r="L64" i="170" s="1"/>
  <c r="N64" i="170" s="1"/>
  <c r="E64" i="170"/>
  <c r="M64" i="170" s="1"/>
  <c r="O64" i="170" s="1"/>
  <c r="P64" i="170" s="1"/>
  <c r="D64" i="170"/>
  <c r="C64" i="170"/>
  <c r="K63" i="170"/>
  <c r="G63" i="170"/>
  <c r="H63" i="170" s="1"/>
  <c r="L63" i="170" s="1"/>
  <c r="N63" i="170" s="1"/>
  <c r="F63" i="170"/>
  <c r="E63" i="170"/>
  <c r="M63" i="170" s="1"/>
  <c r="D63" i="170"/>
  <c r="C63" i="170"/>
  <c r="K62" i="170"/>
  <c r="G62" i="170"/>
  <c r="F62" i="170"/>
  <c r="H62" i="170" s="1"/>
  <c r="L62" i="170" s="1"/>
  <c r="E62" i="170"/>
  <c r="M62" i="170"/>
  <c r="D62" i="170"/>
  <c r="C62" i="170"/>
  <c r="K61" i="170"/>
  <c r="G61" i="170"/>
  <c r="F61" i="170"/>
  <c r="H61" i="170" s="1"/>
  <c r="L61" i="170" s="1"/>
  <c r="N61" i="170" s="1"/>
  <c r="E61" i="170"/>
  <c r="M61" i="170" s="1"/>
  <c r="O61" i="170" s="1"/>
  <c r="D61" i="170"/>
  <c r="C61" i="170"/>
  <c r="K60" i="170"/>
  <c r="G60" i="170"/>
  <c r="F60" i="170"/>
  <c r="H60" i="170" s="1"/>
  <c r="L60" i="170" s="1"/>
  <c r="N60" i="170" s="1"/>
  <c r="E60" i="170"/>
  <c r="M60" i="170" s="1"/>
  <c r="D60" i="170"/>
  <c r="C60" i="170"/>
  <c r="K59" i="170"/>
  <c r="G59" i="170"/>
  <c r="F59" i="170"/>
  <c r="H59" i="170"/>
  <c r="L59" i="170"/>
  <c r="N59" i="170" s="1"/>
  <c r="E59" i="170"/>
  <c r="M59" i="170" s="1"/>
  <c r="D59" i="170"/>
  <c r="C59" i="170"/>
  <c r="K58" i="170"/>
  <c r="G58" i="170"/>
  <c r="F58" i="170"/>
  <c r="H58" i="170" s="1"/>
  <c r="L58" i="170" s="1"/>
  <c r="N58" i="170" s="1"/>
  <c r="O58" i="170" s="1"/>
  <c r="P58" i="170" s="1"/>
  <c r="E58" i="170"/>
  <c r="M58" i="170" s="1"/>
  <c r="D58" i="170"/>
  <c r="C58" i="170"/>
  <c r="K57" i="170"/>
  <c r="K70" i="170"/>
  <c r="G57" i="170"/>
  <c r="F57" i="170"/>
  <c r="E57" i="170"/>
  <c r="M57" i="170" s="1"/>
  <c r="D57" i="170"/>
  <c r="C57" i="170"/>
  <c r="M56" i="170"/>
  <c r="G56" i="170"/>
  <c r="F56" i="170"/>
  <c r="H56" i="170" s="1"/>
  <c r="L56" i="170" s="1"/>
  <c r="N56" i="170" s="1"/>
  <c r="E56" i="170"/>
  <c r="D56" i="170"/>
  <c r="D70" i="170" s="1"/>
  <c r="C56" i="170"/>
  <c r="G55" i="170"/>
  <c r="F55" i="170"/>
  <c r="H55" i="170" s="1"/>
  <c r="L55" i="170" s="1"/>
  <c r="N55" i="170" s="1"/>
  <c r="E55" i="170"/>
  <c r="M55" i="170"/>
  <c r="O55" i="170" s="1"/>
  <c r="P55" i="170" s="1"/>
  <c r="D55" i="170"/>
  <c r="C55" i="170"/>
  <c r="G54" i="170"/>
  <c r="F54" i="170"/>
  <c r="H54" i="170"/>
  <c r="L54" i="170"/>
  <c r="N54" i="170"/>
  <c r="E54" i="170"/>
  <c r="M54" i="170" s="1"/>
  <c r="O54" i="170" s="1"/>
  <c r="P54" i="170" s="1"/>
  <c r="D54" i="170"/>
  <c r="C54" i="170"/>
  <c r="G53" i="170"/>
  <c r="F53" i="170"/>
  <c r="E53" i="170"/>
  <c r="M53" i="170" s="1"/>
  <c r="D53" i="170"/>
  <c r="C53" i="170"/>
  <c r="H52" i="170"/>
  <c r="L52" i="170" s="1"/>
  <c r="N52" i="170" s="1"/>
  <c r="G52" i="170"/>
  <c r="F52" i="170"/>
  <c r="E52" i="170"/>
  <c r="M52" i="170" s="1"/>
  <c r="O52" i="170" s="1"/>
  <c r="P52" i="170" s="1"/>
  <c r="D52" i="170"/>
  <c r="C52" i="170"/>
  <c r="G51" i="170"/>
  <c r="F51" i="170"/>
  <c r="H51" i="170" s="1"/>
  <c r="L51" i="170" s="1"/>
  <c r="N51" i="170" s="1"/>
  <c r="E51" i="170"/>
  <c r="M51" i="170" s="1"/>
  <c r="O51" i="170"/>
  <c r="P51" i="170" s="1"/>
  <c r="D51" i="170"/>
  <c r="C51" i="170"/>
  <c r="G50" i="170"/>
  <c r="F50" i="170"/>
  <c r="E50" i="170"/>
  <c r="M50" i="170" s="1"/>
  <c r="D50" i="170"/>
  <c r="C50" i="170"/>
  <c r="G49" i="170"/>
  <c r="F49" i="170"/>
  <c r="E49" i="170"/>
  <c r="M49" i="170" s="1"/>
  <c r="D49" i="170"/>
  <c r="C49" i="170"/>
  <c r="H48" i="170"/>
  <c r="G46" i="170"/>
  <c r="M45" i="170"/>
  <c r="K45" i="170"/>
  <c r="F45" i="170"/>
  <c r="H45" i="170" s="1"/>
  <c r="E45" i="170"/>
  <c r="D45" i="170"/>
  <c r="M43" i="170"/>
  <c r="K43" i="170"/>
  <c r="F43" i="170"/>
  <c r="H43" i="170"/>
  <c r="E43" i="170"/>
  <c r="D43" i="170"/>
  <c r="K42" i="170"/>
  <c r="F42" i="170"/>
  <c r="H42" i="170" s="1"/>
  <c r="E42" i="170"/>
  <c r="M42" i="170" s="1"/>
  <c r="D42" i="170"/>
  <c r="D46" i="170" s="1"/>
  <c r="M41" i="170"/>
  <c r="O41" i="170" s="1"/>
  <c r="P41" i="170" s="1"/>
  <c r="K41" i="170"/>
  <c r="F41" i="170"/>
  <c r="H41" i="170"/>
  <c r="E41" i="170"/>
  <c r="D41" i="170"/>
  <c r="D47" i="170"/>
  <c r="M40" i="170"/>
  <c r="K40" i="170"/>
  <c r="F40" i="170"/>
  <c r="H40" i="170"/>
  <c r="L40" i="170" s="1"/>
  <c r="E40" i="170"/>
  <c r="D40" i="170"/>
  <c r="K39" i="170"/>
  <c r="N39" i="170" s="1"/>
  <c r="F39" i="170"/>
  <c r="H39" i="170" s="1"/>
  <c r="E39" i="170"/>
  <c r="M39" i="170" s="1"/>
  <c r="O39" i="170" s="1"/>
  <c r="P39" i="170" s="1"/>
  <c r="D39" i="170"/>
  <c r="K38" i="170"/>
  <c r="F38" i="170"/>
  <c r="H38" i="170" s="1"/>
  <c r="L38" i="170" s="1"/>
  <c r="N38" i="170" s="1"/>
  <c r="E38" i="170"/>
  <c r="D38" i="170"/>
  <c r="K37" i="170"/>
  <c r="J37" i="170"/>
  <c r="I37" i="170"/>
  <c r="F37" i="170"/>
  <c r="E37" i="170"/>
  <c r="D37" i="170"/>
  <c r="M34" i="170"/>
  <c r="K34" i="170"/>
  <c r="N34" i="170" s="1"/>
  <c r="I34" i="170"/>
  <c r="H34" i="170"/>
  <c r="G34" i="170"/>
  <c r="F34" i="170"/>
  <c r="D34" i="170"/>
  <c r="C34" i="170"/>
  <c r="L34" i="170"/>
  <c r="M33" i="170"/>
  <c r="K33" i="170"/>
  <c r="I33" i="170"/>
  <c r="H33" i="170"/>
  <c r="G33" i="170"/>
  <c r="F33" i="170"/>
  <c r="D33" i="170"/>
  <c r="C33" i="170"/>
  <c r="L33" i="170" s="1"/>
  <c r="N33" i="170" s="1"/>
  <c r="O33" i="170" s="1"/>
  <c r="P33" i="170" s="1"/>
  <c r="M32" i="170"/>
  <c r="K32" i="170"/>
  <c r="I32" i="170"/>
  <c r="H32" i="170"/>
  <c r="G32" i="170"/>
  <c r="F32" i="170"/>
  <c r="D32" i="170"/>
  <c r="C32" i="170"/>
  <c r="L32" i="170" s="1"/>
  <c r="M31" i="170"/>
  <c r="K31" i="170"/>
  <c r="I31" i="170"/>
  <c r="H31" i="170"/>
  <c r="G31" i="170"/>
  <c r="F31" i="170"/>
  <c r="D31" i="170"/>
  <c r="C31" i="170"/>
  <c r="L31" i="170" s="1"/>
  <c r="M30" i="170"/>
  <c r="K30" i="170"/>
  <c r="I30" i="170"/>
  <c r="H30" i="170"/>
  <c r="G30" i="170"/>
  <c r="F30" i="170"/>
  <c r="D30" i="170"/>
  <c r="C30" i="170"/>
  <c r="M29" i="170"/>
  <c r="K29" i="170"/>
  <c r="I29" i="170"/>
  <c r="N29" i="170" s="1"/>
  <c r="O29" i="170" s="1"/>
  <c r="P29" i="170" s="1"/>
  <c r="H29" i="170"/>
  <c r="G29" i="170"/>
  <c r="L29" i="170" s="1"/>
  <c r="F29" i="170"/>
  <c r="D29" i="170"/>
  <c r="C29" i="170"/>
  <c r="M28" i="170"/>
  <c r="K28" i="170"/>
  <c r="I28" i="170"/>
  <c r="N28" i="170" s="1"/>
  <c r="O28" i="170" s="1"/>
  <c r="P28" i="170" s="1"/>
  <c r="H28" i="170"/>
  <c r="G28" i="170"/>
  <c r="L28" i="170" s="1"/>
  <c r="F28" i="170"/>
  <c r="D28" i="170"/>
  <c r="C28" i="170"/>
  <c r="M27" i="170"/>
  <c r="K27" i="170"/>
  <c r="I27" i="170"/>
  <c r="N27" i="170" s="1"/>
  <c r="O27" i="170" s="1"/>
  <c r="H27" i="170"/>
  <c r="L27" i="170" s="1"/>
  <c r="G27" i="170"/>
  <c r="F27" i="170"/>
  <c r="D27" i="170"/>
  <c r="C27" i="170"/>
  <c r="M26" i="170"/>
  <c r="K26" i="170"/>
  <c r="I26" i="170"/>
  <c r="N26" i="170" s="1"/>
  <c r="O26" i="170" s="1"/>
  <c r="P26" i="170" s="1"/>
  <c r="H26" i="170"/>
  <c r="G26" i="170"/>
  <c r="L26" i="170" s="1"/>
  <c r="F26" i="170"/>
  <c r="D26" i="170"/>
  <c r="C26" i="170"/>
  <c r="M25" i="170"/>
  <c r="K25" i="170"/>
  <c r="I25" i="170"/>
  <c r="H25" i="170"/>
  <c r="G25" i="170"/>
  <c r="F25" i="170"/>
  <c r="D25" i="170"/>
  <c r="C25" i="170"/>
  <c r="N24" i="170"/>
  <c r="O24" i="170" s="1"/>
  <c r="P24" i="170" s="1"/>
  <c r="F24" i="170"/>
  <c r="D24" i="170"/>
  <c r="C24" i="170"/>
  <c r="M23" i="170"/>
  <c r="K23" i="170"/>
  <c r="I23" i="170"/>
  <c r="H23" i="170"/>
  <c r="G23" i="170"/>
  <c r="L23" i="170" s="1"/>
  <c r="F23" i="170"/>
  <c r="D23" i="170"/>
  <c r="C23" i="170"/>
  <c r="D21" i="170"/>
  <c r="C21" i="170"/>
  <c r="M19" i="170"/>
  <c r="K19" i="170"/>
  <c r="I19" i="170"/>
  <c r="H19" i="170"/>
  <c r="G19" i="170"/>
  <c r="L19" i="170"/>
  <c r="F19" i="170"/>
  <c r="D19" i="170"/>
  <c r="D35" i="170" s="1"/>
  <c r="C19" i="170"/>
  <c r="D17" i="170"/>
  <c r="C17" i="170"/>
  <c r="M15" i="170"/>
  <c r="K15" i="170"/>
  <c r="I15" i="170"/>
  <c r="N15" i="170" s="1"/>
  <c r="H15" i="170"/>
  <c r="G15" i="170"/>
  <c r="L15" i="170" s="1"/>
  <c r="F15" i="170"/>
  <c r="D15" i="170"/>
  <c r="C15" i="170"/>
  <c r="D12" i="170"/>
  <c r="C12" i="170"/>
  <c r="M85" i="167"/>
  <c r="R85" i="167" s="1"/>
  <c r="S85" i="167" s="1"/>
  <c r="Q85" i="167"/>
  <c r="Q84" i="167"/>
  <c r="M84" i="167"/>
  <c r="R84" i="167"/>
  <c r="G84" i="167"/>
  <c r="Q83" i="167"/>
  <c r="M83" i="167"/>
  <c r="R83" i="167" s="1"/>
  <c r="G83" i="167"/>
  <c r="Q82" i="167"/>
  <c r="M82" i="167"/>
  <c r="R82" i="167"/>
  <c r="G82" i="167"/>
  <c r="Q81" i="167"/>
  <c r="M81" i="167"/>
  <c r="R81" i="167" s="1"/>
  <c r="R89" i="167" s="1"/>
  <c r="G81" i="167"/>
  <c r="M76" i="167"/>
  <c r="R76" i="167" s="1"/>
  <c r="S76" i="167" s="1"/>
  <c r="Q76" i="167"/>
  <c r="M75" i="167"/>
  <c r="N75" i="167" s="1"/>
  <c r="Q75" i="167"/>
  <c r="G75" i="167"/>
  <c r="H75" i="167" s="1"/>
  <c r="M74" i="167"/>
  <c r="Q74" i="167"/>
  <c r="G74" i="167"/>
  <c r="H74" i="167" s="1"/>
  <c r="M73" i="167"/>
  <c r="Q73" i="167"/>
  <c r="G73" i="167"/>
  <c r="H73" i="167" s="1"/>
  <c r="L72" i="167"/>
  <c r="J72" i="167"/>
  <c r="J87" i="167" s="1"/>
  <c r="I72" i="167"/>
  <c r="F72" i="167"/>
  <c r="E72" i="167"/>
  <c r="D72" i="167"/>
  <c r="C72" i="167"/>
  <c r="Q71" i="167"/>
  <c r="M71" i="167"/>
  <c r="N71" i="167"/>
  <c r="G71" i="167"/>
  <c r="H71" i="167" s="1"/>
  <c r="M70" i="167"/>
  <c r="N70" i="167" s="1"/>
  <c r="Q70" i="167"/>
  <c r="G70" i="167"/>
  <c r="H70" i="167" s="1"/>
  <c r="M69" i="167"/>
  <c r="Q69" i="167"/>
  <c r="G69" i="167"/>
  <c r="H69" i="167"/>
  <c r="M68" i="167"/>
  <c r="N68" i="167" s="1"/>
  <c r="Q68" i="167"/>
  <c r="G68" i="167"/>
  <c r="H68" i="167"/>
  <c r="P67" i="167"/>
  <c r="O67" i="167"/>
  <c r="M67" i="167"/>
  <c r="G67" i="167"/>
  <c r="H67" i="167" s="1"/>
  <c r="P66" i="167"/>
  <c r="M66" i="167"/>
  <c r="Q66" i="167"/>
  <c r="G66" i="167"/>
  <c r="O65" i="167"/>
  <c r="M65" i="167"/>
  <c r="R65" i="167" s="1"/>
  <c r="Q65" i="167"/>
  <c r="G65" i="167"/>
  <c r="Q64" i="167"/>
  <c r="S64" i="167" s="1"/>
  <c r="P64" i="167"/>
  <c r="O64" i="167"/>
  <c r="M64" i="167"/>
  <c r="G64" i="167"/>
  <c r="H64" i="167" s="1"/>
  <c r="M63" i="167"/>
  <c r="G63" i="167"/>
  <c r="Q62" i="167"/>
  <c r="P62" i="167"/>
  <c r="O62" i="167"/>
  <c r="M62" i="167"/>
  <c r="G62" i="167"/>
  <c r="H62" i="167" s="1"/>
  <c r="M61" i="167"/>
  <c r="G61" i="167"/>
  <c r="M60" i="167"/>
  <c r="G60" i="167"/>
  <c r="Q59" i="167"/>
  <c r="P59" i="167"/>
  <c r="O59" i="167"/>
  <c r="M59" i="167"/>
  <c r="H59" i="167"/>
  <c r="G59" i="167"/>
  <c r="P58" i="167"/>
  <c r="O58" i="167"/>
  <c r="M58" i="167"/>
  <c r="R58" i="167" s="1"/>
  <c r="G58" i="167"/>
  <c r="H58" i="167" s="1"/>
  <c r="P57" i="167"/>
  <c r="O57" i="167"/>
  <c r="M57" i="167"/>
  <c r="H57" i="167"/>
  <c r="G57" i="167"/>
  <c r="N54" i="167"/>
  <c r="L54" i="167"/>
  <c r="J54" i="167"/>
  <c r="E54" i="167"/>
  <c r="C54" i="167"/>
  <c r="P53" i="167"/>
  <c r="R53" i="167" s="1"/>
  <c r="S53" i="167" s="1"/>
  <c r="O53" i="167"/>
  <c r="Q53" i="167" s="1"/>
  <c r="I53" i="167"/>
  <c r="I54" i="167" s="1"/>
  <c r="H53" i="167"/>
  <c r="G53" i="167"/>
  <c r="P52" i="167"/>
  <c r="P54" i="167" s="1"/>
  <c r="O52" i="167"/>
  <c r="K52" i="167"/>
  <c r="M52" i="167" s="1"/>
  <c r="I52" i="167"/>
  <c r="H52" i="167"/>
  <c r="G52" i="167"/>
  <c r="G54" i="167"/>
  <c r="I50" i="167"/>
  <c r="F50" i="167"/>
  <c r="E50" i="167"/>
  <c r="D50" i="167"/>
  <c r="C50" i="167"/>
  <c r="P49" i="167"/>
  <c r="O49" i="167"/>
  <c r="Q49" i="167"/>
  <c r="G49" i="167"/>
  <c r="H49" i="167"/>
  <c r="P48" i="167"/>
  <c r="O48" i="167"/>
  <c r="M48" i="167"/>
  <c r="R48" i="167" s="1"/>
  <c r="G48" i="167"/>
  <c r="H48" i="167"/>
  <c r="P47" i="167"/>
  <c r="O47" i="167"/>
  <c r="Q47" i="167" s="1"/>
  <c r="G47" i="167"/>
  <c r="H47" i="167" s="1"/>
  <c r="P46" i="167"/>
  <c r="O46" i="167"/>
  <c r="Q46" i="167"/>
  <c r="G46" i="167"/>
  <c r="H46" i="167" s="1"/>
  <c r="P45" i="167"/>
  <c r="O45" i="167"/>
  <c r="M45" i="167"/>
  <c r="R45" i="167" s="1"/>
  <c r="S45" i="167" s="1"/>
  <c r="L45" i="167"/>
  <c r="Q45" i="167"/>
  <c r="H45" i="167"/>
  <c r="G45" i="167"/>
  <c r="Q44" i="167"/>
  <c r="P44" i="167"/>
  <c r="O44" i="167"/>
  <c r="M44" i="167"/>
  <c r="L44" i="167"/>
  <c r="G44" i="167"/>
  <c r="H44" i="167" s="1"/>
  <c r="P43" i="167"/>
  <c r="O43" i="167"/>
  <c r="Q43" i="167" s="1"/>
  <c r="G43" i="167"/>
  <c r="H43" i="167" s="1"/>
  <c r="Q42" i="167"/>
  <c r="P42" i="167"/>
  <c r="M42" i="167"/>
  <c r="P41" i="167"/>
  <c r="O41" i="167"/>
  <c r="M41" i="167"/>
  <c r="L41" i="167"/>
  <c r="Q41" i="167"/>
  <c r="G41" i="167"/>
  <c r="H41" i="167" s="1"/>
  <c r="Q40" i="167"/>
  <c r="P40" i="167"/>
  <c r="O40" i="167"/>
  <c r="M40" i="167"/>
  <c r="L40" i="167"/>
  <c r="G40" i="167"/>
  <c r="H40" i="167"/>
  <c r="P39" i="167"/>
  <c r="R39" i="167" s="1"/>
  <c r="O39" i="167"/>
  <c r="Q39" i="167" s="1"/>
  <c r="Q50" i="167" s="1"/>
  <c r="M39" i="167"/>
  <c r="N39" i="167" s="1"/>
  <c r="G39" i="167"/>
  <c r="H39" i="167"/>
  <c r="P38" i="167"/>
  <c r="O38" i="167"/>
  <c r="Q38" i="167" s="1"/>
  <c r="G38" i="167"/>
  <c r="H38" i="167" s="1"/>
  <c r="P37" i="167"/>
  <c r="O37" i="167"/>
  <c r="O50" i="167"/>
  <c r="M37" i="167"/>
  <c r="R37" i="167" s="1"/>
  <c r="L37" i="167"/>
  <c r="L50" i="167" s="1"/>
  <c r="K50" i="167"/>
  <c r="J50" i="167"/>
  <c r="Q37" i="167"/>
  <c r="G37" i="167"/>
  <c r="H37" i="167" s="1"/>
  <c r="Q35" i="167"/>
  <c r="P35" i="167"/>
  <c r="R35" i="167" s="1"/>
  <c r="S35" i="167" s="1"/>
  <c r="O35" i="167"/>
  <c r="M35" i="167"/>
  <c r="K35" i="167"/>
  <c r="L35" i="167" s="1"/>
  <c r="G35" i="167"/>
  <c r="H35" i="167"/>
  <c r="F87" i="167"/>
  <c r="E33" i="167"/>
  <c r="F33" i="167" s="1"/>
  <c r="D33" i="167"/>
  <c r="C33" i="167"/>
  <c r="P32" i="167"/>
  <c r="O32" i="167"/>
  <c r="M32" i="167"/>
  <c r="R32" i="167"/>
  <c r="S32" i="167"/>
  <c r="K32" i="167"/>
  <c r="Q32" i="167"/>
  <c r="P31" i="167"/>
  <c r="O31" i="167"/>
  <c r="K31" i="167"/>
  <c r="L31" i="167" s="1"/>
  <c r="M31" i="167"/>
  <c r="Q31" i="167"/>
  <c r="H31" i="167"/>
  <c r="G31" i="167"/>
  <c r="F31" i="167"/>
  <c r="R30" i="167"/>
  <c r="Q30" i="167"/>
  <c r="G30" i="167"/>
  <c r="H30" i="167"/>
  <c r="F30" i="167"/>
  <c r="P29" i="167"/>
  <c r="O29" i="167"/>
  <c r="Q29" i="167" s="1"/>
  <c r="K29" i="167"/>
  <c r="G29" i="167"/>
  <c r="H29" i="167"/>
  <c r="F29" i="167"/>
  <c r="R28" i="167"/>
  <c r="Q28" i="167"/>
  <c r="H28" i="167"/>
  <c r="G28" i="167"/>
  <c r="F28" i="167"/>
  <c r="P27" i="167"/>
  <c r="O27" i="167"/>
  <c r="K27" i="167"/>
  <c r="L27" i="167" s="1"/>
  <c r="M27" i="167"/>
  <c r="N27" i="167" s="1"/>
  <c r="R27" i="167"/>
  <c r="S27" i="167" s="1"/>
  <c r="G27" i="167"/>
  <c r="H27" i="167" s="1"/>
  <c r="F27" i="167"/>
  <c r="Q26" i="167"/>
  <c r="M26" i="167"/>
  <c r="R26" i="167" s="1"/>
  <c r="G26" i="167"/>
  <c r="H26" i="167"/>
  <c r="F26" i="167"/>
  <c r="Q25" i="167"/>
  <c r="P25" i="167"/>
  <c r="O25" i="167"/>
  <c r="K25" i="167"/>
  <c r="M25" i="167" s="1"/>
  <c r="N25" i="167" s="1"/>
  <c r="L25" i="167"/>
  <c r="H25" i="167"/>
  <c r="G25" i="167"/>
  <c r="F25" i="167"/>
  <c r="P24" i="167"/>
  <c r="O24" i="167"/>
  <c r="K24" i="167"/>
  <c r="M24" i="167"/>
  <c r="N24" i="167"/>
  <c r="Q24" i="167"/>
  <c r="G24" i="167"/>
  <c r="H24" i="167" s="1"/>
  <c r="F24" i="167"/>
  <c r="P23" i="167"/>
  <c r="O23" i="167"/>
  <c r="M23" i="167"/>
  <c r="K23" i="167"/>
  <c r="L23" i="167"/>
  <c r="Q23" i="167"/>
  <c r="G23" i="167"/>
  <c r="H23" i="167" s="1"/>
  <c r="F23" i="167"/>
  <c r="P22" i="167"/>
  <c r="O22" i="167"/>
  <c r="Q22" i="167" s="1"/>
  <c r="K22" i="167"/>
  <c r="G22" i="167"/>
  <c r="H22" i="167"/>
  <c r="F22" i="167"/>
  <c r="P21" i="167"/>
  <c r="O21" i="167"/>
  <c r="Q21" i="167" s="1"/>
  <c r="M21" i="167"/>
  <c r="K21" i="167"/>
  <c r="L21" i="167" s="1"/>
  <c r="G21" i="167"/>
  <c r="H21" i="167" s="1"/>
  <c r="F21" i="167"/>
  <c r="P20" i="167"/>
  <c r="O20" i="167"/>
  <c r="Q20" i="167" s="1"/>
  <c r="K20" i="167"/>
  <c r="M20" i="167" s="1"/>
  <c r="R20" i="167" s="1"/>
  <c r="S20" i="167" s="1"/>
  <c r="G20" i="167"/>
  <c r="H20" i="167" s="1"/>
  <c r="F20" i="167"/>
  <c r="P19" i="167"/>
  <c r="O19" i="167"/>
  <c r="Q19" i="167" s="1"/>
  <c r="M19" i="167"/>
  <c r="K19" i="167"/>
  <c r="L19" i="167"/>
  <c r="G19" i="167"/>
  <c r="H19" i="167"/>
  <c r="F19" i="167"/>
  <c r="P18" i="167"/>
  <c r="O18" i="167"/>
  <c r="K18" i="167"/>
  <c r="M18" i="167"/>
  <c r="Q18" i="167"/>
  <c r="G18" i="167"/>
  <c r="H18" i="167"/>
  <c r="F18" i="167"/>
  <c r="P17" i="167"/>
  <c r="O17" i="167"/>
  <c r="K17" i="167"/>
  <c r="M17" i="167" s="1"/>
  <c r="L17" i="167"/>
  <c r="Q17" i="167"/>
  <c r="G17" i="167"/>
  <c r="H17" i="167" s="1"/>
  <c r="F17" i="167"/>
  <c r="P16" i="167"/>
  <c r="O16" i="167"/>
  <c r="K16" i="167"/>
  <c r="M16" i="167"/>
  <c r="Q16" i="167"/>
  <c r="G16" i="167"/>
  <c r="H16" i="167" s="1"/>
  <c r="F16" i="167"/>
  <c r="P15" i="167"/>
  <c r="O15" i="167"/>
  <c r="K15" i="167"/>
  <c r="J33" i="167"/>
  <c r="Q15" i="167"/>
  <c r="G15" i="167"/>
  <c r="H15" i="167" s="1"/>
  <c r="F15" i="167"/>
  <c r="P14" i="167"/>
  <c r="O14" i="167"/>
  <c r="K14" i="167"/>
  <c r="G14" i="167"/>
  <c r="G33" i="167" s="1"/>
  <c r="H33" i="167" s="1"/>
  <c r="F14" i="167"/>
  <c r="E12" i="167"/>
  <c r="D12" i="167"/>
  <c r="D87" i="167" s="1"/>
  <c r="C12" i="167"/>
  <c r="C87" i="167" s="1"/>
  <c r="P11" i="167"/>
  <c r="O11" i="167"/>
  <c r="Q11" i="167" s="1"/>
  <c r="M11" i="167"/>
  <c r="R11" i="167" s="1"/>
  <c r="S11" i="167" s="1"/>
  <c r="L11" i="167"/>
  <c r="K11" i="167"/>
  <c r="H11" i="167"/>
  <c r="G11" i="167"/>
  <c r="F11" i="167"/>
  <c r="P10" i="167"/>
  <c r="O10" i="167"/>
  <c r="Q10" i="167" s="1"/>
  <c r="M10" i="167"/>
  <c r="R10" i="167" s="1"/>
  <c r="K10" i="167"/>
  <c r="L10" i="167"/>
  <c r="G10" i="167"/>
  <c r="H10" i="167"/>
  <c r="F10" i="167"/>
  <c r="P9" i="167"/>
  <c r="O9" i="167"/>
  <c r="Q9" i="167" s="1"/>
  <c r="K9" i="167"/>
  <c r="M9" i="167"/>
  <c r="G9" i="167"/>
  <c r="G12" i="167" s="1"/>
  <c r="H12" i="167" s="1"/>
  <c r="H9" i="167"/>
  <c r="F9" i="167"/>
  <c r="P8" i="167"/>
  <c r="O8" i="167"/>
  <c r="K8" i="167"/>
  <c r="M8" i="167" s="1"/>
  <c r="L8" i="167"/>
  <c r="Q8" i="167"/>
  <c r="G8" i="167"/>
  <c r="H8" i="167" s="1"/>
  <c r="F8" i="167"/>
  <c r="P7" i="167"/>
  <c r="O7" i="167"/>
  <c r="K7" i="167"/>
  <c r="Q7" i="167"/>
  <c r="Q12" i="167" s="1"/>
  <c r="G7" i="167"/>
  <c r="H7" i="167" s="1"/>
  <c r="F7" i="167"/>
  <c r="P6" i="167"/>
  <c r="O6" i="167"/>
  <c r="Q6" i="167" s="1"/>
  <c r="O12" i="167"/>
  <c r="M6" i="167"/>
  <c r="K6" i="167"/>
  <c r="L6" i="167" s="1"/>
  <c r="J12" i="167"/>
  <c r="G6" i="167"/>
  <c r="H6" i="167"/>
  <c r="F6" i="167"/>
  <c r="O59" i="170"/>
  <c r="P59" i="170"/>
  <c r="N32" i="170"/>
  <c r="M37" i="170"/>
  <c r="L41" i="170"/>
  <c r="N41" i="170" s="1"/>
  <c r="L43" i="170"/>
  <c r="N43" i="170" s="1"/>
  <c r="K46" i="170"/>
  <c r="K47" i="170" s="1"/>
  <c r="F73" i="170"/>
  <c r="H72" i="170"/>
  <c r="F82" i="170"/>
  <c r="H82" i="170" s="1"/>
  <c r="N82" i="170"/>
  <c r="O82" i="170" s="1"/>
  <c r="P82" i="170" s="1"/>
  <c r="P98" i="170"/>
  <c r="L66" i="170"/>
  <c r="N66" i="170"/>
  <c r="O66" i="170"/>
  <c r="P66" i="170" s="1"/>
  <c r="P103" i="170"/>
  <c r="I120" i="170"/>
  <c r="P61" i="170"/>
  <c r="N62" i="170"/>
  <c r="O62" i="170"/>
  <c r="P62" i="170" s="1"/>
  <c r="P88" i="170"/>
  <c r="F86" i="170"/>
  <c r="H86" i="170" s="1"/>
  <c r="F98" i="170"/>
  <c r="H98" i="170"/>
  <c r="G120" i="170"/>
  <c r="D124" i="170"/>
  <c r="N20" i="167"/>
  <c r="R18" i="167"/>
  <c r="S18" i="167" s="1"/>
  <c r="N18" i="167"/>
  <c r="R9" i="167"/>
  <c r="S9" i="167" s="1"/>
  <c r="N9" i="167"/>
  <c r="I12" i="167"/>
  <c r="L9" i="167"/>
  <c r="N10" i="167"/>
  <c r="H14" i="167"/>
  <c r="L14" i="167"/>
  <c r="L16" i="167"/>
  <c r="L18" i="167"/>
  <c r="N19" i="167"/>
  <c r="L20" i="167"/>
  <c r="L24" i="167"/>
  <c r="R24" i="167"/>
  <c r="S24" i="167" s="1"/>
  <c r="N35" i="167"/>
  <c r="M38" i="167"/>
  <c r="L38" i="167"/>
  <c r="R40" i="167"/>
  <c r="S40" i="167" s="1"/>
  <c r="N40" i="167"/>
  <c r="M43" i="167"/>
  <c r="N43" i="167" s="1"/>
  <c r="M47" i="167"/>
  <c r="Q58" i="167"/>
  <c r="R62" i="167"/>
  <c r="S62" i="167" s="1"/>
  <c r="N62" i="167"/>
  <c r="N65" i="167"/>
  <c r="R74" i="167"/>
  <c r="S74" i="167" s="1"/>
  <c r="N74" i="167"/>
  <c r="R67" i="167"/>
  <c r="N67" i="167"/>
  <c r="M29" i="167"/>
  <c r="L29" i="167"/>
  <c r="R44" i="167"/>
  <c r="S44" i="167" s="1"/>
  <c r="N44" i="167"/>
  <c r="M46" i="167"/>
  <c r="L46" i="167"/>
  <c r="R59" i="167"/>
  <c r="S59" i="167" s="1"/>
  <c r="N59" i="167"/>
  <c r="R64" i="167"/>
  <c r="N64" i="167"/>
  <c r="R25" i="167"/>
  <c r="S25" i="167" s="1"/>
  <c r="I33" i="167"/>
  <c r="M14" i="167"/>
  <c r="Q27" i="167"/>
  <c r="R41" i="167"/>
  <c r="S41" i="167" s="1"/>
  <c r="Q48" i="167"/>
  <c r="S48" i="167" s="1"/>
  <c r="L48" i="167"/>
  <c r="M49" i="167"/>
  <c r="Q52" i="167"/>
  <c r="Q54" i="167" s="1"/>
  <c r="Q67" i="167"/>
  <c r="R68" i="167"/>
  <c r="S68" i="167"/>
  <c r="R71" i="167"/>
  <c r="S71" i="167"/>
  <c r="R75" i="167"/>
  <c r="S75" i="167" s="1"/>
  <c r="N37" i="167"/>
  <c r="L39" i="167"/>
  <c r="N41" i="167"/>
  <c r="L43" i="167"/>
  <c r="N45" i="167"/>
  <c r="L47" i="167"/>
  <c r="L49" i="167"/>
  <c r="K54" i="167"/>
  <c r="K72" i="167"/>
  <c r="N48" i="167"/>
  <c r="N58" i="167"/>
  <c r="H73" i="170"/>
  <c r="L72" i="170"/>
  <c r="R46" i="167"/>
  <c r="S46" i="167" s="1"/>
  <c r="N46" i="167"/>
  <c r="R38" i="167"/>
  <c r="S38" i="167"/>
  <c r="N38" i="167"/>
  <c r="R49" i="167"/>
  <c r="S49" i="167" s="1"/>
  <c r="N49" i="167"/>
  <c r="S67" i="167"/>
  <c r="R43" i="167"/>
  <c r="S43" i="167" s="1"/>
  <c r="S37" i="167"/>
  <c r="N14" i="167"/>
  <c r="N29" i="167"/>
  <c r="S58" i="167"/>
  <c r="N47" i="167"/>
  <c r="R47" i="167"/>
  <c r="S47" i="167"/>
  <c r="AV50" i="25"/>
  <c r="AP46" i="25"/>
  <c r="AP59" i="25" s="1"/>
  <c r="AP47" i="25"/>
  <c r="AY61" i="25"/>
  <c r="AY76" i="25"/>
  <c r="AY83" i="25"/>
  <c r="AY82" i="25"/>
  <c r="AY80" i="25"/>
  <c r="AY101" i="25"/>
  <c r="AS80" i="25"/>
  <c r="AS88" i="25" s="1"/>
  <c r="D13" i="126"/>
  <c r="D10" i="126"/>
  <c r="D35" i="125"/>
  <c r="E35" i="125"/>
  <c r="F35" i="125"/>
  <c r="D34" i="125"/>
  <c r="D38" i="125" s="1"/>
  <c r="D40" i="125" s="1"/>
  <c r="E34" i="125"/>
  <c r="F34" i="125"/>
  <c r="C34" i="125"/>
  <c r="D26" i="125"/>
  <c r="E26" i="125"/>
  <c r="F26" i="125"/>
  <c r="G26" i="125"/>
  <c r="D27" i="125"/>
  <c r="E27" i="125"/>
  <c r="F27" i="125"/>
  <c r="G27" i="125"/>
  <c r="D28" i="125"/>
  <c r="E28" i="125"/>
  <c r="D29" i="125"/>
  <c r="E29" i="125"/>
  <c r="F29" i="125"/>
  <c r="E25" i="125"/>
  <c r="F25" i="125"/>
  <c r="G25" i="125"/>
  <c r="D25" i="125"/>
  <c r="E24" i="125"/>
  <c r="F24" i="125"/>
  <c r="G24" i="125"/>
  <c r="D24" i="125"/>
  <c r="C16" i="125"/>
  <c r="C15" i="125"/>
  <c r="AE49" i="165"/>
  <c r="W49" i="165"/>
  <c r="AA49" i="165"/>
  <c r="Z10" i="165"/>
  <c r="P8" i="89"/>
  <c r="E48" i="60"/>
  <c r="E42" i="63"/>
  <c r="G45" i="60"/>
  <c r="G32" i="63"/>
  <c r="E11" i="60"/>
  <c r="E8" i="63"/>
  <c r="E12" i="60"/>
  <c r="AA32" i="165"/>
  <c r="U62" i="165"/>
  <c r="V56" i="165"/>
  <c r="W56" i="165"/>
  <c r="U56" i="165"/>
  <c r="T56" i="165"/>
  <c r="W55" i="165"/>
  <c r="W52" i="165"/>
  <c r="W50" i="165"/>
  <c r="W48" i="165"/>
  <c r="W46" i="165"/>
  <c r="W45" i="165"/>
  <c r="W43" i="165"/>
  <c r="W42" i="165"/>
  <c r="W39" i="165"/>
  <c r="W38" i="165"/>
  <c r="W36" i="165"/>
  <c r="W33" i="165"/>
  <c r="W32" i="165"/>
  <c r="W31" i="165"/>
  <c r="W30" i="165"/>
  <c r="W29" i="165"/>
  <c r="W28" i="165"/>
  <c r="W26" i="165"/>
  <c r="W25" i="165"/>
  <c r="W22" i="165"/>
  <c r="W20" i="165"/>
  <c r="W19" i="165"/>
  <c r="W17" i="165"/>
  <c r="W16" i="165"/>
  <c r="W14" i="165"/>
  <c r="W13" i="165"/>
  <c r="W11" i="165"/>
  <c r="W10" i="165"/>
  <c r="V35" i="165"/>
  <c r="U35" i="165"/>
  <c r="T35" i="165"/>
  <c r="Z82" i="165"/>
  <c r="AD82" i="165"/>
  <c r="AE55" i="165"/>
  <c r="AE52" i="165"/>
  <c r="AE50" i="165"/>
  <c r="AE48" i="165"/>
  <c r="AE46" i="165"/>
  <c r="AE45" i="165"/>
  <c r="AE43" i="165"/>
  <c r="AE42" i="165"/>
  <c r="AE39" i="165"/>
  <c r="AE38" i="165"/>
  <c r="AE36" i="165"/>
  <c r="AE33" i="165"/>
  <c r="AE32" i="165"/>
  <c r="AE31" i="165"/>
  <c r="AE30" i="165"/>
  <c r="AE29" i="165"/>
  <c r="AE28" i="165"/>
  <c r="AE26" i="165"/>
  <c r="AE25" i="165"/>
  <c r="AE22" i="165"/>
  <c r="AE20" i="165"/>
  <c r="AE19" i="165"/>
  <c r="AE17" i="165"/>
  <c r="AE16" i="165"/>
  <c r="AE14" i="165"/>
  <c r="AE13" i="165"/>
  <c r="AE11" i="165"/>
  <c r="AE10" i="165"/>
  <c r="AD65" i="165"/>
  <c r="AD67" i="165"/>
  <c r="AD64" i="165"/>
  <c r="AD35" i="165"/>
  <c r="AC35" i="165"/>
  <c r="AB35" i="165"/>
  <c r="AB62" i="165" s="1"/>
  <c r="AD56" i="165"/>
  <c r="AC56" i="165"/>
  <c r="AC62" i="165" s="1"/>
  <c r="G13" i="60"/>
  <c r="AB56" i="165"/>
  <c r="Z80" i="165"/>
  <c r="AD80" i="165"/>
  <c r="AD83" i="165" s="1"/>
  <c r="Z75" i="165"/>
  <c r="AD75" i="165" s="1"/>
  <c r="AD77" i="165" s="1"/>
  <c r="Z65" i="165"/>
  <c r="Z66" i="165"/>
  <c r="Z67" i="165"/>
  <c r="Z68" i="165"/>
  <c r="AD68" i="165" s="1"/>
  <c r="Z64" i="165"/>
  <c r="S10" i="165"/>
  <c r="R77" i="165"/>
  <c r="M44" i="142"/>
  <c r="M43" i="142"/>
  <c r="G26" i="63"/>
  <c r="G29" i="63"/>
  <c r="G34" i="63"/>
  <c r="G40" i="63"/>
  <c r="G41" i="60"/>
  <c r="G31" i="63" s="1"/>
  <c r="AC10" i="41"/>
  <c r="Q24" i="39"/>
  <c r="Q23" i="39"/>
  <c r="Q22" i="39"/>
  <c r="Q21" i="39"/>
  <c r="Q20" i="39"/>
  <c r="Q19" i="39"/>
  <c r="Q14" i="39"/>
  <c r="Q12" i="39"/>
  <c r="Q11" i="39"/>
  <c r="Q10" i="39"/>
  <c r="P24" i="39"/>
  <c r="P23" i="39"/>
  <c r="P22" i="39"/>
  <c r="P21" i="39"/>
  <c r="P20" i="39"/>
  <c r="P19" i="39"/>
  <c r="P14" i="39"/>
  <c r="P12" i="39"/>
  <c r="P11" i="39"/>
  <c r="P10" i="39"/>
  <c r="V10" i="41" s="1"/>
  <c r="K12" i="39"/>
  <c r="O13" i="39"/>
  <c r="O28" i="39"/>
  <c r="N12" i="39"/>
  <c r="M12" i="37"/>
  <c r="M16" i="37"/>
  <c r="M20" i="142"/>
  <c r="H29" i="143" s="1"/>
  <c r="AY93" i="25"/>
  <c r="AY99" i="25"/>
  <c r="AY96" i="25"/>
  <c r="AS96" i="25"/>
  <c r="AS93" i="25"/>
  <c r="AS99" i="25"/>
  <c r="AS67" i="25"/>
  <c r="AS61" i="25"/>
  <c r="AZ76" i="25"/>
  <c r="AZ98" i="25"/>
  <c r="AZ97" i="25"/>
  <c r="AZ96" i="25"/>
  <c r="AZ95" i="25"/>
  <c r="AZ94" i="25"/>
  <c r="AZ99" i="25" s="1"/>
  <c r="AZ93" i="25"/>
  <c r="AV88" i="25"/>
  <c r="AV89" i="25" s="1"/>
  <c r="AW76" i="25"/>
  <c r="AU74" i="25"/>
  <c r="AW74" i="25" s="1"/>
  <c r="AZ74" i="25" s="1"/>
  <c r="AX78" i="25"/>
  <c r="AX100" i="25"/>
  <c r="AV78" i="25"/>
  <c r="AX88" i="25"/>
  <c r="AX89" i="25" s="1"/>
  <c r="AT73" i="25"/>
  <c r="AU73" i="25" s="1"/>
  <c r="AW73" i="25" s="1"/>
  <c r="AZ73" i="25" s="1"/>
  <c r="AT87" i="25"/>
  <c r="AU87" i="25" s="1"/>
  <c r="AW87" i="25" s="1"/>
  <c r="AZ87" i="25" s="1"/>
  <c r="AQ87" i="25"/>
  <c r="AQ72" i="25"/>
  <c r="AT72" i="25" s="1"/>
  <c r="AU72" i="25" s="1"/>
  <c r="AW72" i="25" s="1"/>
  <c r="AZ72" i="25" s="1"/>
  <c r="AQ73" i="25"/>
  <c r="AQ74" i="25"/>
  <c r="AT74" i="25" s="1"/>
  <c r="AQ75" i="25"/>
  <c r="AT75" i="25" s="1"/>
  <c r="AU75" i="25" s="1"/>
  <c r="AW75" i="25" s="1"/>
  <c r="AZ75" i="25" s="1"/>
  <c r="AQ76" i="25"/>
  <c r="AP88" i="25"/>
  <c r="AJ88" i="25"/>
  <c r="AL78" i="25"/>
  <c r="AM78" i="25"/>
  <c r="AK72" i="25"/>
  <c r="AK73" i="25"/>
  <c r="AK74" i="25"/>
  <c r="AK75" i="25"/>
  <c r="AK76" i="25"/>
  <c r="AK77" i="25"/>
  <c r="AJ78" i="25"/>
  <c r="AX59" i="25"/>
  <c r="AV59" i="25"/>
  <c r="AU60" i="25"/>
  <c r="AU79" i="25"/>
  <c r="AW79" i="25" s="1"/>
  <c r="AU90" i="25"/>
  <c r="AU91" i="25"/>
  <c r="AU92" i="25"/>
  <c r="AR59" i="25"/>
  <c r="AQ49" i="25"/>
  <c r="AT49" i="25"/>
  <c r="AU49" i="25" s="1"/>
  <c r="AW49" i="25" s="1"/>
  <c r="AZ49" i="25" s="1"/>
  <c r="AQ50" i="25"/>
  <c r="AT50" i="25" s="1"/>
  <c r="AU50" i="25" s="1"/>
  <c r="AW50" i="25" s="1"/>
  <c r="AZ50" i="25" s="1"/>
  <c r="AQ56" i="25"/>
  <c r="AT56" i="25"/>
  <c r="AU56" i="25"/>
  <c r="AW56" i="25"/>
  <c r="AZ56" i="25" s="1"/>
  <c r="AQ57" i="25"/>
  <c r="AT57" i="25" s="1"/>
  <c r="AU57" i="25" s="1"/>
  <c r="AW57" i="25" s="1"/>
  <c r="AZ57" i="25" s="1"/>
  <c r="AQ58" i="25"/>
  <c r="AT58" i="25" s="1"/>
  <c r="AU58" i="25" s="1"/>
  <c r="AW58" i="25" s="1"/>
  <c r="AZ58" i="25" s="1"/>
  <c r="AK55" i="25"/>
  <c r="AN55" i="25"/>
  <c r="AO55" i="25" s="1"/>
  <c r="AQ55" i="25" s="1"/>
  <c r="AT55" i="25" s="1"/>
  <c r="AU55" i="25" s="1"/>
  <c r="AW55" i="25" s="1"/>
  <c r="AZ55" i="25" s="1"/>
  <c r="AK56" i="25"/>
  <c r="AK57" i="25"/>
  <c r="AJ59" i="25"/>
  <c r="AJ100" i="25" s="1"/>
  <c r="M12" i="29"/>
  <c r="M11" i="29"/>
  <c r="M16" i="29" s="1"/>
  <c r="M17" i="29" s="1"/>
  <c r="M8" i="29"/>
  <c r="AY88" i="25"/>
  <c r="AY78" i="25"/>
  <c r="AY59" i="25"/>
  <c r="Q28" i="23"/>
  <c r="P27" i="23"/>
  <c r="P26" i="23"/>
  <c r="P25" i="23"/>
  <c r="P24" i="23"/>
  <c r="P23" i="23"/>
  <c r="P18" i="23"/>
  <c r="P15" i="23"/>
  <c r="R30" i="23"/>
  <c r="P30" i="23"/>
  <c r="E31" i="21"/>
  <c r="E30" i="21"/>
  <c r="E29" i="21"/>
  <c r="E28" i="21"/>
  <c r="E27" i="21"/>
  <c r="E26" i="21"/>
  <c r="E25" i="21"/>
  <c r="E24" i="21"/>
  <c r="E23" i="21"/>
  <c r="E22" i="21"/>
  <c r="E34" i="21"/>
  <c r="E15" i="21"/>
  <c r="E14" i="21"/>
  <c r="E13" i="21"/>
  <c r="E12" i="21"/>
  <c r="E17" i="21"/>
  <c r="E9" i="21"/>
  <c r="E8" i="21"/>
  <c r="F31" i="21"/>
  <c r="F30" i="21"/>
  <c r="F28" i="21"/>
  <c r="F27" i="21"/>
  <c r="F26" i="21"/>
  <c r="F25" i="21"/>
  <c r="F24" i="21"/>
  <c r="F23" i="21"/>
  <c r="F22" i="21"/>
  <c r="F17" i="21"/>
  <c r="F15" i="21"/>
  <c r="F14" i="21"/>
  <c r="F13" i="21"/>
  <c r="F12" i="21"/>
  <c r="F9" i="21"/>
  <c r="F8" i="21"/>
  <c r="K16" i="19"/>
  <c r="J18" i="19"/>
  <c r="J16" i="19"/>
  <c r="J15" i="19"/>
  <c r="J14" i="19"/>
  <c r="J11" i="19"/>
  <c r="J12" i="19"/>
  <c r="J13" i="19"/>
  <c r="P19" i="19"/>
  <c r="Q19" i="19"/>
  <c r="F26" i="103"/>
  <c r="F22" i="103"/>
  <c r="F20" i="103"/>
  <c r="F19" i="103"/>
  <c r="F17" i="103"/>
  <c r="F16" i="103"/>
  <c r="F15" i="103"/>
  <c r="F14" i="103"/>
  <c r="F13" i="103"/>
  <c r="F11" i="103"/>
  <c r="F10" i="103"/>
  <c r="F9" i="103"/>
  <c r="F8" i="103"/>
  <c r="F7" i="103"/>
  <c r="G23" i="103"/>
  <c r="G22" i="103"/>
  <c r="G24" i="103"/>
  <c r="G20" i="103"/>
  <c r="G19" i="103"/>
  <c r="G17" i="103"/>
  <c r="G21" i="103" s="1"/>
  <c r="G16" i="103"/>
  <c r="G15" i="103"/>
  <c r="G14" i="103"/>
  <c r="G13" i="103"/>
  <c r="G11" i="103"/>
  <c r="G10" i="103"/>
  <c r="G9" i="103"/>
  <c r="G8" i="103"/>
  <c r="G7" i="103"/>
  <c r="G12" i="103" s="1"/>
  <c r="F24" i="15"/>
  <c r="F22" i="15"/>
  <c r="F18" i="15"/>
  <c r="F17" i="15"/>
  <c r="F16" i="15"/>
  <c r="F14" i="15"/>
  <c r="F12" i="15"/>
  <c r="F11" i="15"/>
  <c r="E27" i="15"/>
  <c r="G24" i="15"/>
  <c r="G22" i="15"/>
  <c r="G18" i="15"/>
  <c r="G17" i="15"/>
  <c r="G16" i="15"/>
  <c r="G14" i="15"/>
  <c r="G12" i="15"/>
  <c r="G11" i="15"/>
  <c r="F9" i="15"/>
  <c r="G9" i="15"/>
  <c r="I28" i="13"/>
  <c r="F37" i="13"/>
  <c r="G37" i="13"/>
  <c r="F34" i="13"/>
  <c r="F20" i="13"/>
  <c r="G22" i="13"/>
  <c r="F22" i="13"/>
  <c r="F36" i="13"/>
  <c r="F39" i="13"/>
  <c r="F35" i="13"/>
  <c r="F31" i="13"/>
  <c r="F28" i="13"/>
  <c r="F11" i="13"/>
  <c r="G36" i="13"/>
  <c r="G35" i="13"/>
  <c r="G34" i="13"/>
  <c r="G31" i="13"/>
  <c r="G28" i="13"/>
  <c r="G20" i="13"/>
  <c r="G11" i="13"/>
  <c r="M93" i="168"/>
  <c r="I93" i="168"/>
  <c r="M91" i="168"/>
  <c r="P91" i="168"/>
  <c r="M90" i="168"/>
  <c r="P90" i="168"/>
  <c r="K89" i="168"/>
  <c r="M89" i="168"/>
  <c r="P89" i="168" s="1"/>
  <c r="I89" i="168"/>
  <c r="O89" i="168" s="1"/>
  <c r="K88" i="168"/>
  <c r="M88" i="168" s="1"/>
  <c r="I88" i="168"/>
  <c r="K87" i="168"/>
  <c r="M87" i="168"/>
  <c r="P87" i="168" s="1"/>
  <c r="I87" i="168"/>
  <c r="O87" i="168" s="1"/>
  <c r="O86" i="168"/>
  <c r="K86" i="168"/>
  <c r="M86" i="168"/>
  <c r="G86" i="168"/>
  <c r="P86" i="168" s="1"/>
  <c r="O85" i="168"/>
  <c r="K85" i="168"/>
  <c r="M85" i="168"/>
  <c r="P85" i="168" s="1"/>
  <c r="G85" i="168"/>
  <c r="O84" i="168"/>
  <c r="K84" i="168"/>
  <c r="M84" i="168"/>
  <c r="G84" i="168"/>
  <c r="P84" i="168" s="1"/>
  <c r="O83" i="168"/>
  <c r="K83" i="168"/>
  <c r="M83" i="168" s="1"/>
  <c r="P83" i="168" s="1"/>
  <c r="G83" i="168"/>
  <c r="P82" i="168"/>
  <c r="O82" i="168"/>
  <c r="P81" i="168"/>
  <c r="O81" i="168"/>
  <c r="P80" i="168"/>
  <c r="O80" i="168"/>
  <c r="O79" i="168"/>
  <c r="M79" i="168"/>
  <c r="P79" i="168"/>
  <c r="K78" i="168"/>
  <c r="M78" i="168"/>
  <c r="P78" i="168"/>
  <c r="I78" i="168"/>
  <c r="O78" i="168" s="1"/>
  <c r="K77" i="168"/>
  <c r="M77" i="168" s="1"/>
  <c r="I77" i="168"/>
  <c r="O77" i="168"/>
  <c r="H77" i="168"/>
  <c r="G77" i="168"/>
  <c r="K76" i="168"/>
  <c r="M76" i="168"/>
  <c r="I76" i="168"/>
  <c r="O76" i="168"/>
  <c r="G76" i="168"/>
  <c r="H76" i="168" s="1"/>
  <c r="K75" i="168"/>
  <c r="M75" i="168" s="1"/>
  <c r="I75" i="168"/>
  <c r="O75" i="168"/>
  <c r="G75" i="168"/>
  <c r="H75" i="168" s="1"/>
  <c r="L74" i="168"/>
  <c r="J74" i="168"/>
  <c r="F74" i="168"/>
  <c r="F92" i="168" s="1"/>
  <c r="E74" i="168"/>
  <c r="D74" i="168"/>
  <c r="C74" i="168"/>
  <c r="M73" i="168"/>
  <c r="I73" i="168"/>
  <c r="K72" i="168"/>
  <c r="M72" i="168"/>
  <c r="I72" i="168"/>
  <c r="K71" i="168"/>
  <c r="M71" i="168" s="1"/>
  <c r="I71" i="168"/>
  <c r="O71" i="168" s="1"/>
  <c r="G71" i="168"/>
  <c r="K70" i="168"/>
  <c r="M70" i="168"/>
  <c r="N70" i="168" s="1"/>
  <c r="I70" i="168"/>
  <c r="O70" i="168" s="1"/>
  <c r="G70" i="168"/>
  <c r="K69" i="168"/>
  <c r="M69" i="168"/>
  <c r="I69" i="168"/>
  <c r="O69" i="168" s="1"/>
  <c r="G69" i="168"/>
  <c r="P69" i="168" s="1"/>
  <c r="K68" i="168"/>
  <c r="M68" i="168"/>
  <c r="I68" i="168"/>
  <c r="O68" i="168" s="1"/>
  <c r="G68" i="168"/>
  <c r="P68" i="168" s="1"/>
  <c r="K67" i="168"/>
  <c r="M67" i="168" s="1"/>
  <c r="I67" i="168"/>
  <c r="O67" i="168" s="1"/>
  <c r="G67" i="168"/>
  <c r="K66" i="168"/>
  <c r="M66" i="168"/>
  <c r="N66" i="168"/>
  <c r="I66" i="168"/>
  <c r="O66" i="168" s="1"/>
  <c r="G66" i="168"/>
  <c r="K65" i="168"/>
  <c r="M65" i="168"/>
  <c r="I65" i="168"/>
  <c r="O65" i="168"/>
  <c r="G65" i="168"/>
  <c r="K64" i="168"/>
  <c r="M64" i="168" s="1"/>
  <c r="I64" i="168"/>
  <c r="G64" i="168"/>
  <c r="H64" i="168" s="1"/>
  <c r="O63" i="168"/>
  <c r="M63" i="168"/>
  <c r="G63" i="168"/>
  <c r="K62" i="168"/>
  <c r="M62" i="168" s="1"/>
  <c r="I62" i="168"/>
  <c r="O62" i="168" s="1"/>
  <c r="G62" i="168"/>
  <c r="O61" i="168"/>
  <c r="M61" i="168"/>
  <c r="P61" i="168" s="1"/>
  <c r="G61" i="168"/>
  <c r="O60" i="168"/>
  <c r="M60" i="168"/>
  <c r="G60" i="168"/>
  <c r="K59" i="168"/>
  <c r="M59" i="168" s="1"/>
  <c r="I59" i="168"/>
  <c r="O59" i="168" s="1"/>
  <c r="H59" i="168"/>
  <c r="G59" i="168"/>
  <c r="K58" i="168"/>
  <c r="M58" i="168" s="1"/>
  <c r="I58" i="168"/>
  <c r="O58" i="168" s="1"/>
  <c r="G58" i="168"/>
  <c r="K57" i="168"/>
  <c r="I57" i="168"/>
  <c r="G57" i="168"/>
  <c r="H57" i="168" s="1"/>
  <c r="P56" i="168"/>
  <c r="O56" i="168"/>
  <c r="P55" i="168"/>
  <c r="O55" i="168"/>
  <c r="L54" i="168"/>
  <c r="J54" i="168"/>
  <c r="E54" i="168"/>
  <c r="C54" i="168"/>
  <c r="K53" i="168"/>
  <c r="M53" i="168"/>
  <c r="I53" i="168"/>
  <c r="G53" i="168"/>
  <c r="K52" i="168"/>
  <c r="I52" i="168"/>
  <c r="G52" i="168"/>
  <c r="F50" i="168"/>
  <c r="E50" i="168"/>
  <c r="D50" i="168"/>
  <c r="C50" i="168"/>
  <c r="K49" i="168"/>
  <c r="J49" i="168"/>
  <c r="M49" i="168" s="1"/>
  <c r="I49" i="168"/>
  <c r="O49" i="168" s="1"/>
  <c r="G49" i="168"/>
  <c r="M48" i="168"/>
  <c r="N48" i="168"/>
  <c r="I48" i="168"/>
  <c r="O48" i="168"/>
  <c r="G48" i="168"/>
  <c r="H48" i="168"/>
  <c r="K47" i="168"/>
  <c r="J47" i="168"/>
  <c r="I47" i="168"/>
  <c r="O47" i="168"/>
  <c r="G47" i="168"/>
  <c r="H47" i="168" s="1"/>
  <c r="K46" i="168"/>
  <c r="M46" i="168"/>
  <c r="N46" i="168" s="1"/>
  <c r="J46" i="168"/>
  <c r="I46" i="168"/>
  <c r="O46" i="168"/>
  <c r="G46" i="168"/>
  <c r="K45" i="168"/>
  <c r="J45" i="168"/>
  <c r="I45" i="168"/>
  <c r="O45" i="168" s="1"/>
  <c r="H45" i="168"/>
  <c r="G45" i="168"/>
  <c r="K44" i="168"/>
  <c r="L44" i="168" s="1"/>
  <c r="J44" i="168"/>
  <c r="I44" i="168"/>
  <c r="G44" i="168"/>
  <c r="K43" i="168"/>
  <c r="M43" i="168" s="1"/>
  <c r="J43" i="168"/>
  <c r="I43" i="168"/>
  <c r="O43" i="168" s="1"/>
  <c r="H43" i="168"/>
  <c r="G43" i="168"/>
  <c r="O42" i="168"/>
  <c r="K42" i="168"/>
  <c r="M42" i="168"/>
  <c r="P42" i="168" s="1"/>
  <c r="K41" i="168"/>
  <c r="J41" i="168"/>
  <c r="I41" i="168"/>
  <c r="O41" i="168" s="1"/>
  <c r="G41" i="168"/>
  <c r="K40" i="168"/>
  <c r="M40" i="168" s="1"/>
  <c r="J40" i="168"/>
  <c r="I40" i="168"/>
  <c r="O40" i="168" s="1"/>
  <c r="G40" i="168"/>
  <c r="H40" i="168" s="1"/>
  <c r="K39" i="168"/>
  <c r="J39" i="168"/>
  <c r="I39" i="168"/>
  <c r="O39" i="168" s="1"/>
  <c r="G39" i="168"/>
  <c r="K38" i="168"/>
  <c r="J38" i="168"/>
  <c r="M38" i="168" s="1"/>
  <c r="I38" i="168"/>
  <c r="O38" i="168" s="1"/>
  <c r="G38" i="168"/>
  <c r="H38" i="168" s="1"/>
  <c r="K37" i="168"/>
  <c r="M37" i="168" s="1"/>
  <c r="J37" i="168"/>
  <c r="I37" i="168"/>
  <c r="G37" i="168"/>
  <c r="M35" i="168"/>
  <c r="N35" i="168"/>
  <c r="K35" i="168"/>
  <c r="J35" i="168"/>
  <c r="I35" i="168"/>
  <c r="O35" i="168"/>
  <c r="G35" i="168"/>
  <c r="H35" i="168"/>
  <c r="F33" i="168"/>
  <c r="E33" i="168"/>
  <c r="D33" i="168"/>
  <c r="C33" i="168"/>
  <c r="M32" i="168"/>
  <c r="I32" i="168"/>
  <c r="K31" i="168"/>
  <c r="J31" i="168"/>
  <c r="M31" i="168" s="1"/>
  <c r="I31" i="168"/>
  <c r="O31" i="168"/>
  <c r="G31" i="168"/>
  <c r="F31" i="168"/>
  <c r="O30" i="168"/>
  <c r="N30" i="168"/>
  <c r="G30" i="168"/>
  <c r="F30" i="168"/>
  <c r="K29" i="168"/>
  <c r="J29" i="168"/>
  <c r="M29" i="168" s="1"/>
  <c r="N29" i="168" s="1"/>
  <c r="I29" i="168"/>
  <c r="O29" i="168" s="1"/>
  <c r="G29" i="168"/>
  <c r="H29" i="168"/>
  <c r="F29" i="168"/>
  <c r="O28" i="168"/>
  <c r="G28" i="168"/>
  <c r="P28" i="168"/>
  <c r="F28" i="168"/>
  <c r="K27" i="168"/>
  <c r="I27" i="168"/>
  <c r="G27" i="168"/>
  <c r="H27" i="168" s="1"/>
  <c r="F27" i="168"/>
  <c r="O26" i="168"/>
  <c r="M26" i="168"/>
  <c r="G26" i="168"/>
  <c r="H26" i="168" s="1"/>
  <c r="F26" i="168"/>
  <c r="K25" i="168"/>
  <c r="M25" i="168"/>
  <c r="I25" i="168"/>
  <c r="O25" i="168" s="1"/>
  <c r="G25" i="168"/>
  <c r="H25" i="168"/>
  <c r="F25" i="168"/>
  <c r="K24" i="168"/>
  <c r="M24" i="168" s="1"/>
  <c r="I24" i="168"/>
  <c r="O24" i="168"/>
  <c r="H24" i="168"/>
  <c r="G24" i="168"/>
  <c r="F24" i="168"/>
  <c r="K23" i="168"/>
  <c r="J23" i="168"/>
  <c r="M23" i="168" s="1"/>
  <c r="I23" i="168"/>
  <c r="O23" i="168" s="1"/>
  <c r="G23" i="168"/>
  <c r="H23" i="168" s="1"/>
  <c r="F23" i="168"/>
  <c r="K22" i="168"/>
  <c r="L22" i="168" s="1"/>
  <c r="J22" i="168"/>
  <c r="I22" i="168"/>
  <c r="O22" i="168" s="1"/>
  <c r="G22" i="168"/>
  <c r="F22" i="168"/>
  <c r="K21" i="168"/>
  <c r="M21" i="168" s="1"/>
  <c r="J21" i="168"/>
  <c r="I21" i="168"/>
  <c r="H21" i="168"/>
  <c r="G21" i="168"/>
  <c r="F21" i="168"/>
  <c r="K20" i="168"/>
  <c r="L20" i="168" s="1"/>
  <c r="J20" i="168"/>
  <c r="I20" i="168"/>
  <c r="H20" i="168"/>
  <c r="G20" i="168"/>
  <c r="F20" i="168"/>
  <c r="K19" i="168"/>
  <c r="M19" i="168" s="1"/>
  <c r="J19" i="168"/>
  <c r="I19" i="168"/>
  <c r="O19" i="168"/>
  <c r="H19" i="168"/>
  <c r="G19" i="168"/>
  <c r="F19" i="168"/>
  <c r="K18" i="168"/>
  <c r="M18" i="168" s="1"/>
  <c r="J18" i="168"/>
  <c r="I18" i="168"/>
  <c r="O18" i="168" s="1"/>
  <c r="G18" i="168"/>
  <c r="P18" i="168" s="1"/>
  <c r="F18" i="168"/>
  <c r="K17" i="168"/>
  <c r="J17" i="168"/>
  <c r="I17" i="168"/>
  <c r="G17" i="168"/>
  <c r="H17" i="168" s="1"/>
  <c r="F17" i="168"/>
  <c r="K16" i="168"/>
  <c r="L16" i="168" s="1"/>
  <c r="J16" i="168"/>
  <c r="I16" i="168"/>
  <c r="H16" i="168"/>
  <c r="G16" i="168"/>
  <c r="F16" i="168"/>
  <c r="K15" i="168"/>
  <c r="M15" i="168"/>
  <c r="J15" i="168"/>
  <c r="I15" i="168"/>
  <c r="O15" i="168" s="1"/>
  <c r="H15" i="168"/>
  <c r="G15" i="168"/>
  <c r="F15" i="168"/>
  <c r="K14" i="168"/>
  <c r="J14" i="168"/>
  <c r="I14" i="168"/>
  <c r="G14" i="168"/>
  <c r="F14" i="168"/>
  <c r="E12" i="168"/>
  <c r="D12" i="168"/>
  <c r="D92" i="168" s="1"/>
  <c r="C12" i="168"/>
  <c r="C92" i="168" s="1"/>
  <c r="K11" i="168"/>
  <c r="M11" i="168"/>
  <c r="P11" i="168" s="1"/>
  <c r="J11" i="168"/>
  <c r="I11" i="168"/>
  <c r="O11" i="168" s="1"/>
  <c r="G11" i="168"/>
  <c r="F11" i="168"/>
  <c r="K10" i="168"/>
  <c r="J10" i="168"/>
  <c r="J12" i="168"/>
  <c r="I10" i="168"/>
  <c r="G10" i="168"/>
  <c r="H10" i="168" s="1"/>
  <c r="F10" i="168"/>
  <c r="K9" i="168"/>
  <c r="J9" i="168"/>
  <c r="I9" i="168"/>
  <c r="G9" i="168"/>
  <c r="H9" i="168" s="1"/>
  <c r="F9" i="168"/>
  <c r="K8" i="168"/>
  <c r="J8" i="168"/>
  <c r="I8" i="168"/>
  <c r="O8" i="168" s="1"/>
  <c r="H8" i="168"/>
  <c r="G8" i="168"/>
  <c r="F8" i="168"/>
  <c r="K7" i="168"/>
  <c r="J7" i="168"/>
  <c r="M7" i="168" s="1"/>
  <c r="I7" i="168"/>
  <c r="O7" i="168" s="1"/>
  <c r="G7" i="168"/>
  <c r="F7" i="168"/>
  <c r="K6" i="168"/>
  <c r="M6" i="168" s="1"/>
  <c r="J6" i="168"/>
  <c r="I6" i="168"/>
  <c r="O6" i="168" s="1"/>
  <c r="G6" i="168"/>
  <c r="H6" i="168" s="1"/>
  <c r="F6" i="168"/>
  <c r="K45" i="142"/>
  <c r="N48" i="142"/>
  <c r="O48" i="142" s="1"/>
  <c r="J30" i="143" s="1"/>
  <c r="D56" i="63"/>
  <c r="AM2" i="25"/>
  <c r="AK2" i="25"/>
  <c r="N44" i="142"/>
  <c r="O44" i="142"/>
  <c r="J37" i="143" s="1"/>
  <c r="N43" i="142"/>
  <c r="O43" i="142"/>
  <c r="L20" i="142"/>
  <c r="AA33" i="165"/>
  <c r="AA20" i="165"/>
  <c r="G10" i="165"/>
  <c r="H10" i="165"/>
  <c r="I10" i="165"/>
  <c r="K10" i="165" s="1"/>
  <c r="O10" i="165"/>
  <c r="H11" i="165"/>
  <c r="I11" i="165"/>
  <c r="K11" i="165" s="1"/>
  <c r="O11" i="165"/>
  <c r="S11" i="165"/>
  <c r="G13" i="165"/>
  <c r="J13" i="165"/>
  <c r="O13" i="165"/>
  <c r="S13" i="165"/>
  <c r="AA13" i="165"/>
  <c r="G14" i="165"/>
  <c r="J14" i="165"/>
  <c r="K14" i="165" s="1"/>
  <c r="O14" i="165"/>
  <c r="S14" i="165"/>
  <c r="AA14" i="165"/>
  <c r="G16" i="165"/>
  <c r="J16" i="165"/>
  <c r="K16" i="165" s="1"/>
  <c r="O16" i="165"/>
  <c r="S16" i="165"/>
  <c r="AA16" i="165"/>
  <c r="G17" i="165"/>
  <c r="J17" i="165"/>
  <c r="K17" i="165"/>
  <c r="O17" i="165"/>
  <c r="S17" i="165"/>
  <c r="AA17" i="165"/>
  <c r="G19" i="165"/>
  <c r="J19" i="165"/>
  <c r="K19" i="165" s="1"/>
  <c r="O19" i="165"/>
  <c r="S19" i="165"/>
  <c r="AA19" i="165"/>
  <c r="G20" i="165"/>
  <c r="J20" i="165"/>
  <c r="K20" i="165" s="1"/>
  <c r="O20" i="165"/>
  <c r="S20" i="165"/>
  <c r="G22" i="165"/>
  <c r="J22" i="165"/>
  <c r="K22" i="165" s="1"/>
  <c r="O22" i="165"/>
  <c r="S22" i="165"/>
  <c r="G25" i="165"/>
  <c r="J25" i="165"/>
  <c r="K25" i="165" s="1"/>
  <c r="O25" i="165"/>
  <c r="S25" i="165"/>
  <c r="AA25" i="165"/>
  <c r="G26" i="165"/>
  <c r="J26" i="165"/>
  <c r="K26" i="165" s="1"/>
  <c r="O26" i="165"/>
  <c r="S26" i="165"/>
  <c r="AA26" i="165"/>
  <c r="G28" i="165"/>
  <c r="J28" i="165"/>
  <c r="K28" i="165" s="1"/>
  <c r="O28" i="165"/>
  <c r="S28" i="165"/>
  <c r="AA28" i="165"/>
  <c r="G29" i="165"/>
  <c r="J29" i="165"/>
  <c r="K29" i="165" s="1"/>
  <c r="O29" i="165"/>
  <c r="S29" i="165"/>
  <c r="AA29" i="165"/>
  <c r="G30" i="165"/>
  <c r="J30" i="165"/>
  <c r="K30" i="165" s="1"/>
  <c r="O30" i="165"/>
  <c r="S30" i="165"/>
  <c r="AA30" i="165"/>
  <c r="G31" i="165"/>
  <c r="J31" i="165"/>
  <c r="K31" i="165" s="1"/>
  <c r="O31" i="165"/>
  <c r="S31" i="165"/>
  <c r="AA31" i="165"/>
  <c r="G33" i="165"/>
  <c r="I33" i="165"/>
  <c r="J33" i="165"/>
  <c r="O33" i="165"/>
  <c r="S33" i="165"/>
  <c r="D35" i="165"/>
  <c r="E35" i="165"/>
  <c r="F35" i="165"/>
  <c r="F62" i="165"/>
  <c r="L35" i="165"/>
  <c r="L62" i="165" s="1"/>
  <c r="M35" i="165"/>
  <c r="N35" i="165"/>
  <c r="P35" i="165"/>
  <c r="Q35" i="165"/>
  <c r="X35" i="165"/>
  <c r="Y35" i="165"/>
  <c r="G36" i="165"/>
  <c r="K36" i="165"/>
  <c r="O36" i="165"/>
  <c r="G38" i="165"/>
  <c r="J38" i="165"/>
  <c r="K38" i="165"/>
  <c r="O38" i="165"/>
  <c r="S38" i="165"/>
  <c r="AA38" i="165"/>
  <c r="P56" i="165"/>
  <c r="G39" i="165"/>
  <c r="I39" i="165"/>
  <c r="J39" i="165"/>
  <c r="O39" i="165"/>
  <c r="S39" i="165"/>
  <c r="AA39" i="165"/>
  <c r="G42" i="165"/>
  <c r="J42" i="165"/>
  <c r="K42" i="165"/>
  <c r="O42" i="165"/>
  <c r="S42" i="165"/>
  <c r="AA42" i="165"/>
  <c r="G43" i="165"/>
  <c r="J43" i="165"/>
  <c r="K43" i="165"/>
  <c r="O43" i="165"/>
  <c r="S43" i="165"/>
  <c r="AA43" i="165"/>
  <c r="G45" i="165"/>
  <c r="J45" i="165"/>
  <c r="K45" i="165"/>
  <c r="O45" i="165"/>
  <c r="S45" i="165"/>
  <c r="AA45" i="165"/>
  <c r="G46" i="165"/>
  <c r="J46" i="165"/>
  <c r="K46" i="165"/>
  <c r="O46" i="165"/>
  <c r="S46" i="165"/>
  <c r="AA46" i="165"/>
  <c r="G48" i="165"/>
  <c r="J48" i="165"/>
  <c r="K48" i="165"/>
  <c r="O48" i="165"/>
  <c r="S48" i="165"/>
  <c r="AA48" i="165"/>
  <c r="G49" i="165"/>
  <c r="J49" i="165"/>
  <c r="K49" i="165"/>
  <c r="O49" i="165"/>
  <c r="S49" i="165"/>
  <c r="G50" i="165"/>
  <c r="K50" i="165"/>
  <c r="O50" i="165"/>
  <c r="S50" i="165"/>
  <c r="AA50" i="165"/>
  <c r="G52" i="165"/>
  <c r="K52" i="165"/>
  <c r="O52" i="165"/>
  <c r="S52" i="165"/>
  <c r="AA52" i="165"/>
  <c r="G55" i="165"/>
  <c r="K55" i="165"/>
  <c r="O55" i="165"/>
  <c r="S55" i="165"/>
  <c r="D56" i="165"/>
  <c r="D62" i="165"/>
  <c r="E56" i="165"/>
  <c r="F56" i="165"/>
  <c r="G56" i="165" s="1"/>
  <c r="H56" i="165"/>
  <c r="L56" i="165"/>
  <c r="M56" i="165"/>
  <c r="N56" i="165"/>
  <c r="Q56" i="165"/>
  <c r="Q62" i="165"/>
  <c r="Q5" i="165" s="1"/>
  <c r="Y56" i="165"/>
  <c r="Y62" i="165"/>
  <c r="F13" i="60" s="1"/>
  <c r="F12" i="60" s="1"/>
  <c r="F11" i="60" s="1"/>
  <c r="F61" i="165"/>
  <c r="R69" i="165"/>
  <c r="J69" i="165"/>
  <c r="Z77" i="165"/>
  <c r="F77" i="165"/>
  <c r="J77" i="165"/>
  <c r="J80" i="165"/>
  <c r="J83" i="165" s="1"/>
  <c r="F83" i="165"/>
  <c r="R83" i="165"/>
  <c r="Z83" i="165"/>
  <c r="X56" i="165"/>
  <c r="I56" i="165"/>
  <c r="K13" i="165"/>
  <c r="F15" i="31"/>
  <c r="F16" i="31"/>
  <c r="F14" i="31"/>
  <c r="F12" i="31"/>
  <c r="F11" i="31"/>
  <c r="F8" i="31"/>
  <c r="F17" i="31" s="1"/>
  <c r="U31" i="41"/>
  <c r="X31" i="41"/>
  <c r="J24" i="39"/>
  <c r="L26" i="39"/>
  <c r="AE33" i="25"/>
  <c r="AS78" i="25"/>
  <c r="AR78" i="25"/>
  <c r="AP78" i="25"/>
  <c r="AP89" i="25" s="1"/>
  <c r="AL88" i="25"/>
  <c r="AM88" i="25"/>
  <c r="AK43" i="25"/>
  <c r="AK44" i="25"/>
  <c r="AM44" i="25"/>
  <c r="AK45" i="25"/>
  <c r="AK46" i="25"/>
  <c r="AM46" i="25"/>
  <c r="AK47" i="25"/>
  <c r="AK48" i="25"/>
  <c r="AN48" i="25" s="1"/>
  <c r="AO48" i="25"/>
  <c r="AQ48" i="25" s="1"/>
  <c r="AT48" i="25" s="1"/>
  <c r="AU48" i="25" s="1"/>
  <c r="AW48" i="25" s="1"/>
  <c r="AZ48" i="25" s="1"/>
  <c r="AL59" i="25"/>
  <c r="AJ99" i="25"/>
  <c r="AJ89" i="25"/>
  <c r="AK91" i="25"/>
  <c r="AN91" i="25" s="1"/>
  <c r="AO91" i="25" s="1"/>
  <c r="AK90" i="25"/>
  <c r="AN90" i="25"/>
  <c r="AO90" i="25" s="1"/>
  <c r="AN77" i="25"/>
  <c r="AO77" i="25" s="1"/>
  <c r="AQ77" i="25" s="1"/>
  <c r="AT77" i="25" s="1"/>
  <c r="AU77" i="25" s="1"/>
  <c r="AW77" i="25" s="1"/>
  <c r="AZ77" i="25" s="1"/>
  <c r="AF17" i="25"/>
  <c r="Q30" i="39"/>
  <c r="Q32" i="39"/>
  <c r="M25" i="39"/>
  <c r="N25" i="39"/>
  <c r="S30" i="41"/>
  <c r="K12" i="37"/>
  <c r="K9" i="37"/>
  <c r="I12" i="37"/>
  <c r="I9" i="37"/>
  <c r="AF23" i="25"/>
  <c r="AF25" i="25"/>
  <c r="AH25" i="25" s="1"/>
  <c r="AI25" i="25" s="1"/>
  <c r="AF24" i="25"/>
  <c r="N29" i="23"/>
  <c r="T30" i="41" s="1"/>
  <c r="T32" i="41" s="1"/>
  <c r="M27" i="23"/>
  <c r="M26" i="23"/>
  <c r="M25" i="23"/>
  <c r="M23" i="23"/>
  <c r="G18" i="23"/>
  <c r="N14" i="41"/>
  <c r="G16" i="23"/>
  <c r="J34" i="23"/>
  <c r="J35" i="23" s="1"/>
  <c r="M18" i="23"/>
  <c r="M16" i="23"/>
  <c r="M15" i="23"/>
  <c r="F23" i="103"/>
  <c r="F24" i="103"/>
  <c r="D12" i="125"/>
  <c r="B11" i="43"/>
  <c r="B14" i="43" s="1"/>
  <c r="B17" i="43" s="1"/>
  <c r="C8" i="43" s="1"/>
  <c r="C14" i="43" s="1"/>
  <c r="C11" i="43"/>
  <c r="D14" i="43"/>
  <c r="F14" i="43"/>
  <c r="B15" i="43"/>
  <c r="C15" i="43"/>
  <c r="D65179" i="43"/>
  <c r="C10" i="41"/>
  <c r="C25" i="41" s="1"/>
  <c r="D10" i="41"/>
  <c r="D25" i="41" s="1"/>
  <c r="E10" i="41"/>
  <c r="E25" i="41" s="1"/>
  <c r="G10" i="41"/>
  <c r="G25" i="41" s="1"/>
  <c r="H10" i="41"/>
  <c r="H25" i="41" s="1"/>
  <c r="I10" i="41"/>
  <c r="K10" i="41"/>
  <c r="M10" i="41"/>
  <c r="N10" i="41"/>
  <c r="P10" i="41"/>
  <c r="Q10" i="41"/>
  <c r="T10" i="41"/>
  <c r="W10" i="41"/>
  <c r="Z10" i="41"/>
  <c r="C11" i="41"/>
  <c r="D11" i="41"/>
  <c r="E11" i="41"/>
  <c r="G11" i="41"/>
  <c r="H11" i="41"/>
  <c r="I11" i="41"/>
  <c r="M11" i="41"/>
  <c r="P11" i="41"/>
  <c r="C12" i="41"/>
  <c r="D12" i="41"/>
  <c r="E12" i="41"/>
  <c r="F12" i="41"/>
  <c r="G12" i="41"/>
  <c r="H12" i="41"/>
  <c r="I12" i="41"/>
  <c r="M12" i="41"/>
  <c r="C13" i="41"/>
  <c r="D13" i="41"/>
  <c r="E13" i="41"/>
  <c r="G13" i="41"/>
  <c r="H13" i="41"/>
  <c r="J13" i="41"/>
  <c r="K13" i="41"/>
  <c r="M13" i="41"/>
  <c r="O13" i="41" s="1"/>
  <c r="N13" i="41"/>
  <c r="P13" i="41"/>
  <c r="C14" i="41"/>
  <c r="D14" i="41"/>
  <c r="E14" i="41"/>
  <c r="F14" i="41" s="1"/>
  <c r="G14" i="41"/>
  <c r="H14" i="41"/>
  <c r="I14" i="41"/>
  <c r="P14" i="41"/>
  <c r="C15" i="41"/>
  <c r="D15" i="41"/>
  <c r="E15" i="41"/>
  <c r="F15" i="41" s="1"/>
  <c r="G15" i="41"/>
  <c r="H15" i="41"/>
  <c r="J15" i="41"/>
  <c r="K15" i="41"/>
  <c r="M15" i="41"/>
  <c r="O15" i="41" s="1"/>
  <c r="N15" i="41"/>
  <c r="P15" i="41"/>
  <c r="C16" i="41"/>
  <c r="D16" i="41"/>
  <c r="E16" i="41"/>
  <c r="G16" i="41"/>
  <c r="H16" i="41"/>
  <c r="I16" i="41"/>
  <c r="J16" i="41"/>
  <c r="K16" i="41"/>
  <c r="M16" i="41"/>
  <c r="N16" i="41"/>
  <c r="P16" i="41"/>
  <c r="C17" i="41"/>
  <c r="D17" i="41"/>
  <c r="E17" i="41"/>
  <c r="G17" i="41"/>
  <c r="H17" i="41"/>
  <c r="J17" i="41"/>
  <c r="K17" i="41"/>
  <c r="M17" i="41"/>
  <c r="O17" i="41" s="1"/>
  <c r="N17" i="41"/>
  <c r="P17" i="41"/>
  <c r="C18" i="41"/>
  <c r="F18" i="41" s="1"/>
  <c r="D18" i="41"/>
  <c r="E18" i="41"/>
  <c r="G18" i="41"/>
  <c r="H18" i="41"/>
  <c r="J18" i="41"/>
  <c r="K18" i="41"/>
  <c r="M18" i="41"/>
  <c r="O18" i="41" s="1"/>
  <c r="N18" i="41"/>
  <c r="P18" i="41"/>
  <c r="C19" i="41"/>
  <c r="D19" i="41"/>
  <c r="F19" i="41" s="1"/>
  <c r="E19" i="41"/>
  <c r="G19" i="41"/>
  <c r="H19" i="41"/>
  <c r="I19" i="41"/>
  <c r="M19" i="41"/>
  <c r="N19" i="41"/>
  <c r="P19" i="41"/>
  <c r="Q19" i="41"/>
  <c r="C20" i="41"/>
  <c r="F20" i="41" s="1"/>
  <c r="D20" i="41"/>
  <c r="E20" i="41"/>
  <c r="G20" i="41"/>
  <c r="H20" i="41"/>
  <c r="I20" i="41"/>
  <c r="M20" i="41"/>
  <c r="N20" i="41"/>
  <c r="P20" i="41"/>
  <c r="Q20" i="41"/>
  <c r="C21" i="41"/>
  <c r="D21" i="41"/>
  <c r="E21" i="41"/>
  <c r="G21" i="41"/>
  <c r="H21" i="41"/>
  <c r="I21" i="41"/>
  <c r="M21" i="41"/>
  <c r="P21" i="41"/>
  <c r="C22" i="41"/>
  <c r="D22" i="41"/>
  <c r="E22" i="41"/>
  <c r="G22" i="41"/>
  <c r="H22" i="41"/>
  <c r="I22" i="41"/>
  <c r="M22" i="41"/>
  <c r="P22" i="41"/>
  <c r="C23" i="41"/>
  <c r="D23" i="41"/>
  <c r="E23" i="41"/>
  <c r="G23" i="41"/>
  <c r="H23" i="41"/>
  <c r="I23" i="41"/>
  <c r="M23" i="41"/>
  <c r="P23" i="41"/>
  <c r="I24" i="41"/>
  <c r="L24" i="41"/>
  <c r="D10" i="39"/>
  <c r="E10" i="39"/>
  <c r="D11" i="39"/>
  <c r="F11" i="39" s="1"/>
  <c r="E11" i="39"/>
  <c r="D12" i="39"/>
  <c r="E12" i="39"/>
  <c r="J12" i="39"/>
  <c r="F13" i="39"/>
  <c r="D14" i="39"/>
  <c r="E14" i="39"/>
  <c r="G14" i="39"/>
  <c r="M14" i="41" s="1"/>
  <c r="F15" i="39"/>
  <c r="I15" i="39" s="1"/>
  <c r="L15" i="39" s="1"/>
  <c r="F16" i="39"/>
  <c r="I16" i="39"/>
  <c r="L16" i="39"/>
  <c r="F17" i="39"/>
  <c r="I17" i="39" s="1"/>
  <c r="L17" i="39"/>
  <c r="F18" i="39"/>
  <c r="I18" i="39"/>
  <c r="L18" i="39" s="1"/>
  <c r="O18" i="39" s="1"/>
  <c r="R18" i="39" s="1"/>
  <c r="D19" i="39"/>
  <c r="E19" i="39"/>
  <c r="F19" i="39"/>
  <c r="I19" i="39" s="1"/>
  <c r="L19" i="39" s="1"/>
  <c r="O19" i="39" s="1"/>
  <c r="R19" i="39" s="1"/>
  <c r="D20" i="39"/>
  <c r="E20" i="39"/>
  <c r="D21" i="39"/>
  <c r="J21" i="41"/>
  <c r="E21" i="39"/>
  <c r="D22" i="39"/>
  <c r="E22" i="39"/>
  <c r="D23" i="39"/>
  <c r="F23" i="39" s="1"/>
  <c r="I23" i="39" s="1"/>
  <c r="L23" i="39" s="1"/>
  <c r="O23" i="39" s="1"/>
  <c r="E23" i="39"/>
  <c r="D24" i="39"/>
  <c r="F24" i="39" s="1"/>
  <c r="C25" i="39"/>
  <c r="H25" i="39"/>
  <c r="K25" i="39"/>
  <c r="F9" i="37"/>
  <c r="F16" i="37"/>
  <c r="G9" i="37"/>
  <c r="G16" i="37"/>
  <c r="J20" i="142" s="1"/>
  <c r="C16" i="37"/>
  <c r="D16" i="37"/>
  <c r="H16" i="37"/>
  <c r="J16" i="37"/>
  <c r="C8" i="35"/>
  <c r="C9" i="35"/>
  <c r="C10" i="35"/>
  <c r="C14" i="35"/>
  <c r="C15" i="35"/>
  <c r="C16" i="35"/>
  <c r="D14" i="33"/>
  <c r="E8" i="31"/>
  <c r="E10" i="31"/>
  <c r="E11" i="31"/>
  <c r="E12" i="31"/>
  <c r="E14" i="31"/>
  <c r="C15" i="31"/>
  <c r="C17" i="31"/>
  <c r="E15" i="31"/>
  <c r="C16" i="31"/>
  <c r="D17" i="31"/>
  <c r="K8" i="29"/>
  <c r="L8" i="29"/>
  <c r="I11" i="29"/>
  <c r="I16" i="29" s="1"/>
  <c r="I17" i="29"/>
  <c r="K11" i="29"/>
  <c r="L11" i="29"/>
  <c r="K12" i="29"/>
  <c r="L12" i="29"/>
  <c r="C16" i="29"/>
  <c r="D16" i="29"/>
  <c r="F16" i="29"/>
  <c r="F17" i="29"/>
  <c r="G16" i="29"/>
  <c r="G17" i="29"/>
  <c r="H16" i="29"/>
  <c r="H17" i="29"/>
  <c r="J16" i="29"/>
  <c r="J17" i="29"/>
  <c r="C17" i="29"/>
  <c r="D17" i="29"/>
  <c r="E17" i="29"/>
  <c r="E10" i="25"/>
  <c r="G10" i="25" s="1"/>
  <c r="J10" i="25"/>
  <c r="K10" i="25" s="1"/>
  <c r="M10" i="25" s="1"/>
  <c r="P10" i="25" s="1"/>
  <c r="Q10" i="25" s="1"/>
  <c r="S10" i="25" s="1"/>
  <c r="O10" i="25"/>
  <c r="O59" i="25"/>
  <c r="Y10" i="25"/>
  <c r="AB10" i="25" s="1"/>
  <c r="AE10" i="25"/>
  <c r="AG10" i="25"/>
  <c r="K11" i="25"/>
  <c r="M11" i="25"/>
  <c r="P11" i="25" s="1"/>
  <c r="Q11" i="25"/>
  <c r="S11" i="25"/>
  <c r="V11" i="25" s="1"/>
  <c r="Y11" i="25"/>
  <c r="AB11" i="25"/>
  <c r="AE11" i="25"/>
  <c r="AH11" i="25"/>
  <c r="AI11" i="25" s="1"/>
  <c r="AK11" i="25" s="1"/>
  <c r="AG11" i="25"/>
  <c r="E12" i="25"/>
  <c r="G12" i="25" s="1"/>
  <c r="K12" i="25"/>
  <c r="M12" i="25" s="1"/>
  <c r="P12" i="25" s="1"/>
  <c r="Y12" i="25"/>
  <c r="AB12" i="25"/>
  <c r="AE12" i="25"/>
  <c r="AH12" i="25" s="1"/>
  <c r="AI12" i="25" s="1"/>
  <c r="AK12" i="25" s="1"/>
  <c r="AN12" i="25" s="1"/>
  <c r="AO12" i="25" s="1"/>
  <c r="AQ12" i="25" s="1"/>
  <c r="AT12" i="25" s="1"/>
  <c r="AU12" i="25" s="1"/>
  <c r="AW12" i="25" s="1"/>
  <c r="AZ12" i="25" s="1"/>
  <c r="Y13" i="25"/>
  <c r="AB13" i="25" s="1"/>
  <c r="AE13" i="25"/>
  <c r="AH13" i="25" s="1"/>
  <c r="AI13" i="25" s="1"/>
  <c r="AK13" i="25" s="1"/>
  <c r="AN13" i="25" s="1"/>
  <c r="AO13" i="25" s="1"/>
  <c r="AQ13" i="25" s="1"/>
  <c r="AT13" i="25" s="1"/>
  <c r="AU13" i="25" s="1"/>
  <c r="AW13" i="25" s="1"/>
  <c r="AZ13" i="25" s="1"/>
  <c r="Y14" i="25"/>
  <c r="AB14" i="25"/>
  <c r="AE14" i="25"/>
  <c r="K15" i="25"/>
  <c r="M15" i="25" s="1"/>
  <c r="P15" i="25"/>
  <c r="Q15" i="25" s="1"/>
  <c r="S15" i="25" s="1"/>
  <c r="V15" i="25" s="1"/>
  <c r="Y15" i="25"/>
  <c r="AB15" i="25" s="1"/>
  <c r="AE15" i="25"/>
  <c r="K16" i="25"/>
  <c r="M16" i="25"/>
  <c r="P16" i="25" s="1"/>
  <c r="Q16" i="25"/>
  <c r="S16" i="25"/>
  <c r="V16" i="25"/>
  <c r="Y16" i="25"/>
  <c r="AB16" i="25"/>
  <c r="AE16" i="25"/>
  <c r="AH16" i="25"/>
  <c r="AI16" i="25" s="1"/>
  <c r="AK16" i="25" s="1"/>
  <c r="K17" i="25"/>
  <c r="M17" i="25"/>
  <c r="P17" i="25" s="1"/>
  <c r="Q17" i="25" s="1"/>
  <c r="S17" i="25" s="1"/>
  <c r="V17" i="25" s="1"/>
  <c r="Y17" i="25"/>
  <c r="AB17" i="25"/>
  <c r="AE17" i="25"/>
  <c r="AG17" i="25"/>
  <c r="K18" i="25"/>
  <c r="M18" i="25"/>
  <c r="P18" i="25" s="1"/>
  <c r="Q18" i="25" s="1"/>
  <c r="S18" i="25" s="1"/>
  <c r="V18" i="25" s="1"/>
  <c r="Y18" i="25"/>
  <c r="AB18" i="25" s="1"/>
  <c r="AE18" i="25"/>
  <c r="AH18" i="25"/>
  <c r="AI18" i="25" s="1"/>
  <c r="AK18" i="25"/>
  <c r="AN18" i="25" s="1"/>
  <c r="AO18" i="25"/>
  <c r="AQ18" i="25"/>
  <c r="AS18" i="25" s="1"/>
  <c r="K19" i="25"/>
  <c r="M19" i="25" s="1"/>
  <c r="P19" i="25"/>
  <c r="Q19" i="25" s="1"/>
  <c r="S19" i="25" s="1"/>
  <c r="V19" i="25" s="1"/>
  <c r="Y19" i="25"/>
  <c r="AB19" i="25" s="1"/>
  <c r="AE19" i="25"/>
  <c r="AF19" i="25"/>
  <c r="AH19" i="25"/>
  <c r="AI19" i="25" s="1"/>
  <c r="AK19" i="25" s="1"/>
  <c r="AN19" i="25" s="1"/>
  <c r="AO19" i="25" s="1"/>
  <c r="AQ19" i="25" s="1"/>
  <c r="AG19" i="25"/>
  <c r="K20" i="25"/>
  <c r="M20" i="25"/>
  <c r="P20" i="25" s="1"/>
  <c r="Q20" i="25"/>
  <c r="S20" i="25" s="1"/>
  <c r="V20" i="25" s="1"/>
  <c r="Y20" i="25"/>
  <c r="AB20" i="25"/>
  <c r="AE20" i="25"/>
  <c r="AF20" i="25"/>
  <c r="AG20" i="25"/>
  <c r="K21" i="25"/>
  <c r="M21" i="25" s="1"/>
  <c r="Y21" i="25"/>
  <c r="AB21" i="25" s="1"/>
  <c r="AE21" i="25"/>
  <c r="AH21" i="25" s="1"/>
  <c r="AI21" i="25"/>
  <c r="AK21" i="25" s="1"/>
  <c r="AN21" i="25" s="1"/>
  <c r="AO21" i="25" s="1"/>
  <c r="AQ21" i="25" s="1"/>
  <c r="AG21" i="25"/>
  <c r="K22" i="25"/>
  <c r="M22" i="25" s="1"/>
  <c r="P22" i="25"/>
  <c r="Q22" i="25" s="1"/>
  <c r="S22" i="25" s="1"/>
  <c r="V22" i="25" s="1"/>
  <c r="Y22" i="25"/>
  <c r="AB22" i="25"/>
  <c r="AD22" i="25"/>
  <c r="AE22" i="25" s="1"/>
  <c r="AG22" i="25"/>
  <c r="K23" i="25"/>
  <c r="M23" i="25"/>
  <c r="P23" i="25" s="1"/>
  <c r="Q23" i="25"/>
  <c r="S23" i="25" s="1"/>
  <c r="V23" i="25" s="1"/>
  <c r="Y23" i="25"/>
  <c r="AB23" i="25"/>
  <c r="AD23" i="25"/>
  <c r="AE23" i="25"/>
  <c r="AG23" i="25"/>
  <c r="K24" i="25"/>
  <c r="M24" i="25" s="1"/>
  <c r="P24" i="25" s="1"/>
  <c r="Q24" i="25" s="1"/>
  <c r="S24" i="25" s="1"/>
  <c r="V24" i="25" s="1"/>
  <c r="Y24" i="25"/>
  <c r="AB24" i="25" s="1"/>
  <c r="AD24" i="25"/>
  <c r="AE24" i="25" s="1"/>
  <c r="AG24" i="25"/>
  <c r="K25" i="25"/>
  <c r="Y25" i="25"/>
  <c r="AB25" i="25" s="1"/>
  <c r="AD25" i="25"/>
  <c r="AE25" i="25" s="1"/>
  <c r="AK25" i="25"/>
  <c r="AN25" i="25" s="1"/>
  <c r="AO25" i="25" s="1"/>
  <c r="AQ25" i="25" s="1"/>
  <c r="AG25" i="25"/>
  <c r="AD26" i="25"/>
  <c r="AE26" i="25"/>
  <c r="AH26" i="25"/>
  <c r="AI26" i="25" s="1"/>
  <c r="AK26" i="25" s="1"/>
  <c r="AN26" i="25" s="1"/>
  <c r="AO26" i="25" s="1"/>
  <c r="AQ26" i="25" s="1"/>
  <c r="AG26" i="25"/>
  <c r="AD27" i="25"/>
  <c r="AE27" i="25" s="1"/>
  <c r="AH27" i="25" s="1"/>
  <c r="AI27" i="25" s="1"/>
  <c r="AK27" i="25" s="1"/>
  <c r="AN27" i="25"/>
  <c r="AO27" i="25" s="1"/>
  <c r="AQ27" i="25" s="1"/>
  <c r="AG27" i="25"/>
  <c r="AD28" i="25"/>
  <c r="AE28" i="25" s="1"/>
  <c r="AH28" i="25" s="1"/>
  <c r="AI28" i="25" s="1"/>
  <c r="AK28" i="25" s="1"/>
  <c r="AN28" i="25" s="1"/>
  <c r="AO28" i="25" s="1"/>
  <c r="AQ28" i="25"/>
  <c r="AG28" i="25"/>
  <c r="K29" i="25"/>
  <c r="M29" i="25" s="1"/>
  <c r="P29" i="25"/>
  <c r="Q29" i="25"/>
  <c r="S29" i="25" s="1"/>
  <c r="V29" i="25" s="1"/>
  <c r="Y29" i="25"/>
  <c r="AB29" i="25" s="1"/>
  <c r="AD29" i="25"/>
  <c r="AE29" i="25" s="1"/>
  <c r="AG29" i="25"/>
  <c r="K30" i="25"/>
  <c r="M30" i="25"/>
  <c r="P30" i="25" s="1"/>
  <c r="Q30" i="25" s="1"/>
  <c r="S30" i="25" s="1"/>
  <c r="V30" i="25" s="1"/>
  <c r="Y30" i="25"/>
  <c r="AB30" i="25"/>
  <c r="AE30" i="25"/>
  <c r="AH30" i="25"/>
  <c r="AI30" i="25" s="1"/>
  <c r="AG30" i="25"/>
  <c r="K31" i="25"/>
  <c r="M31" i="25" s="1"/>
  <c r="P31" i="25" s="1"/>
  <c r="Q31" i="25" s="1"/>
  <c r="S31" i="25" s="1"/>
  <c r="V31" i="25"/>
  <c r="Y31" i="25"/>
  <c r="AB31" i="25"/>
  <c r="AE31" i="25"/>
  <c r="AH31" i="25" s="1"/>
  <c r="AI31" i="25" s="1"/>
  <c r="AK31" i="25" s="1"/>
  <c r="AN31" i="25" s="1"/>
  <c r="AO31" i="25" s="1"/>
  <c r="AQ31" i="25" s="1"/>
  <c r="K32" i="25"/>
  <c r="M32" i="25" s="1"/>
  <c r="P32" i="25" s="1"/>
  <c r="Q32" i="25" s="1"/>
  <c r="S32" i="25" s="1"/>
  <c r="V32" i="25" s="1"/>
  <c r="Y32" i="25"/>
  <c r="AB32" i="25" s="1"/>
  <c r="AE32" i="25"/>
  <c r="AH32" i="25" s="1"/>
  <c r="AI32" i="25" s="1"/>
  <c r="AK32" i="25" s="1"/>
  <c r="AN32" i="25" s="1"/>
  <c r="AO32" i="25" s="1"/>
  <c r="AQ32" i="25"/>
  <c r="AS32" i="25" s="1"/>
  <c r="AG32" i="25"/>
  <c r="K33" i="25"/>
  <c r="M33" i="25"/>
  <c r="P33" i="25" s="1"/>
  <c r="Y33" i="25"/>
  <c r="AB33" i="25"/>
  <c r="AI33" i="25"/>
  <c r="AK33" i="25"/>
  <c r="AN33" i="25" s="1"/>
  <c r="AO33" i="25"/>
  <c r="AQ33" i="25" s="1"/>
  <c r="AT33" i="25" s="1"/>
  <c r="AU33" i="25" s="1"/>
  <c r="AW33" i="25" s="1"/>
  <c r="AZ33" i="25" s="1"/>
  <c r="E34" i="25"/>
  <c r="G34" i="25" s="1"/>
  <c r="K34" i="25"/>
  <c r="M34" i="25"/>
  <c r="P34" i="25"/>
  <c r="Q34" i="25" s="1"/>
  <c r="S34" i="25" s="1"/>
  <c r="V34" i="25" s="1"/>
  <c r="AE34" i="25"/>
  <c r="AH34" i="25" s="1"/>
  <c r="AI34" i="25"/>
  <c r="AK34" i="25" s="1"/>
  <c r="AN34" i="25" s="1"/>
  <c r="AO34" i="25" s="1"/>
  <c r="AQ34" i="25"/>
  <c r="AT34" i="25" s="1"/>
  <c r="AU34" i="25" s="1"/>
  <c r="AW34" i="25" s="1"/>
  <c r="AZ34" i="25" s="1"/>
  <c r="K35" i="25"/>
  <c r="M35" i="25"/>
  <c r="P35" i="25" s="1"/>
  <c r="Q35" i="25" s="1"/>
  <c r="S35" i="25" s="1"/>
  <c r="V35" i="25"/>
  <c r="Y35" i="25"/>
  <c r="AB35" i="25"/>
  <c r="AE35" i="25"/>
  <c r="AH35" i="25" s="1"/>
  <c r="AI35" i="25" s="1"/>
  <c r="AK35" i="25"/>
  <c r="AN35" i="25" s="1"/>
  <c r="AO35" i="25" s="1"/>
  <c r="AQ35" i="25" s="1"/>
  <c r="AS35" i="25" s="1"/>
  <c r="AG35" i="25"/>
  <c r="K36" i="25"/>
  <c r="M36" i="25" s="1"/>
  <c r="P36" i="25" s="1"/>
  <c r="Q36" i="25" s="1"/>
  <c r="S36" i="25" s="1"/>
  <c r="V36" i="25" s="1"/>
  <c r="Y36" i="25"/>
  <c r="AB36" i="25"/>
  <c r="AE36" i="25"/>
  <c r="AH36" i="25" s="1"/>
  <c r="AI36" i="25" s="1"/>
  <c r="AK36" i="25" s="1"/>
  <c r="AN36" i="25" s="1"/>
  <c r="AO36" i="25" s="1"/>
  <c r="AQ36" i="25" s="1"/>
  <c r="AG36" i="25"/>
  <c r="K37" i="25"/>
  <c r="M37" i="25"/>
  <c r="P37" i="25" s="1"/>
  <c r="Q37" i="25"/>
  <c r="S37" i="25"/>
  <c r="V37" i="25" s="1"/>
  <c r="Y37" i="25"/>
  <c r="AB37" i="25"/>
  <c r="AE37" i="25"/>
  <c r="AF37" i="25"/>
  <c r="K38" i="25"/>
  <c r="M38" i="25"/>
  <c r="P38" i="25" s="1"/>
  <c r="Q38" i="25" s="1"/>
  <c r="S38" i="25" s="1"/>
  <c r="V38" i="25" s="1"/>
  <c r="Y38" i="25"/>
  <c r="AB38" i="25"/>
  <c r="AE38" i="25"/>
  <c r="AH38" i="25"/>
  <c r="AI38" i="25"/>
  <c r="AK38" i="25" s="1"/>
  <c r="AN38" i="25" s="1"/>
  <c r="AO38" i="25" s="1"/>
  <c r="AQ38" i="25" s="1"/>
  <c r="AS38" i="25" s="1"/>
  <c r="M39" i="25"/>
  <c r="P39" i="25" s="1"/>
  <c r="Q39" i="25"/>
  <c r="S39" i="25" s="1"/>
  <c r="W39" i="25"/>
  <c r="Y39" i="25" s="1"/>
  <c r="AD39" i="25"/>
  <c r="AE39" i="25" s="1"/>
  <c r="AH39" i="25" s="1"/>
  <c r="AI39" i="25" s="1"/>
  <c r="AK39" i="25" s="1"/>
  <c r="AN39" i="25" s="1"/>
  <c r="AG39" i="25"/>
  <c r="AE40" i="25"/>
  <c r="AH40" i="25"/>
  <c r="AI40" i="25"/>
  <c r="AK40" i="25" s="1"/>
  <c r="AN40" i="25" s="1"/>
  <c r="AO40" i="25" s="1"/>
  <c r="AQ40" i="25" s="1"/>
  <c r="AT40" i="25" s="1"/>
  <c r="AU40" i="25" s="1"/>
  <c r="AW40" i="25"/>
  <c r="AZ40" i="25" s="1"/>
  <c r="AE41" i="25"/>
  <c r="AH41" i="25" s="1"/>
  <c r="AI41" i="25"/>
  <c r="AK41" i="25" s="1"/>
  <c r="AN41" i="25" s="1"/>
  <c r="AO41" i="25" s="1"/>
  <c r="AQ41" i="25" s="1"/>
  <c r="AT41" i="25" s="1"/>
  <c r="AU41" i="25" s="1"/>
  <c r="AW41" i="25" s="1"/>
  <c r="AZ41" i="25" s="1"/>
  <c r="AE42" i="25"/>
  <c r="AH42" i="25"/>
  <c r="AI42" i="25" s="1"/>
  <c r="AK42" i="25" s="1"/>
  <c r="AE51" i="25"/>
  <c r="AH51" i="25"/>
  <c r="AI51" i="25" s="1"/>
  <c r="AK51" i="25" s="1"/>
  <c r="AN51" i="25" s="1"/>
  <c r="AO51" i="25" s="1"/>
  <c r="AQ51" i="25" s="1"/>
  <c r="AT51" i="25" s="1"/>
  <c r="AU51" i="25" s="1"/>
  <c r="AW51" i="25"/>
  <c r="AZ51" i="25" s="1"/>
  <c r="AE52" i="25"/>
  <c r="AH52" i="25"/>
  <c r="AI52" i="25" s="1"/>
  <c r="AK52" i="25" s="1"/>
  <c r="AN52" i="25" s="1"/>
  <c r="AO52" i="25" s="1"/>
  <c r="AQ52" i="25" s="1"/>
  <c r="AT52" i="25" s="1"/>
  <c r="AU52" i="25" s="1"/>
  <c r="AW52" i="25" s="1"/>
  <c r="AZ52" i="25" s="1"/>
  <c r="AE53" i="25"/>
  <c r="AH53" i="25"/>
  <c r="AI53" i="25"/>
  <c r="AE54" i="25"/>
  <c r="AH54" i="25" s="1"/>
  <c r="AI54" i="25"/>
  <c r="D59" i="25"/>
  <c r="F59" i="25"/>
  <c r="H59" i="25"/>
  <c r="I59" i="25"/>
  <c r="L59" i="25"/>
  <c r="N59" i="25"/>
  <c r="R59" i="25"/>
  <c r="T59" i="25"/>
  <c r="U59" i="25"/>
  <c r="U100" i="25" s="1"/>
  <c r="X59" i="25"/>
  <c r="Z59" i="25"/>
  <c r="AA59" i="25"/>
  <c r="AC59" i="25"/>
  <c r="E60" i="25"/>
  <c r="G60" i="25" s="1"/>
  <c r="I60" i="25"/>
  <c r="I88" i="25"/>
  <c r="K61" i="25"/>
  <c r="M61" i="25"/>
  <c r="X61" i="25"/>
  <c r="AG61" i="25"/>
  <c r="K62" i="25"/>
  <c r="X62" i="25"/>
  <c r="Y62" i="25"/>
  <c r="Z62" i="25"/>
  <c r="AD62" i="25"/>
  <c r="AE62" i="25"/>
  <c r="AF62" i="25"/>
  <c r="AG62" i="25"/>
  <c r="K63" i="25"/>
  <c r="M63" i="25"/>
  <c r="P63" i="25"/>
  <c r="Q63" i="25"/>
  <c r="S63" i="25" s="1"/>
  <c r="V63" i="25" s="1"/>
  <c r="X63" i="25"/>
  <c r="Y63" i="25"/>
  <c r="AB63" i="25" s="1"/>
  <c r="AE63" i="25"/>
  <c r="AH63" i="25"/>
  <c r="AI63" i="25" s="1"/>
  <c r="AK63" i="25" s="1"/>
  <c r="AN63" i="25" s="1"/>
  <c r="AO63" i="25"/>
  <c r="AQ63" i="25" s="1"/>
  <c r="AT63" i="25" s="1"/>
  <c r="AU63" i="25" s="1"/>
  <c r="AW63" i="25" s="1"/>
  <c r="AZ63" i="25" s="1"/>
  <c r="AG63" i="25"/>
  <c r="K64" i="25"/>
  <c r="M64" i="25" s="1"/>
  <c r="P64" i="25"/>
  <c r="Q64" i="25" s="1"/>
  <c r="S64" i="25" s="1"/>
  <c r="V64" i="25" s="1"/>
  <c r="X64" i="25"/>
  <c r="Y64" i="25" s="1"/>
  <c r="AB64" i="25" s="1"/>
  <c r="Z64" i="25"/>
  <c r="AE64" i="25"/>
  <c r="AH64" i="25"/>
  <c r="AI64" i="25" s="1"/>
  <c r="AK64" i="25" s="1"/>
  <c r="AN64" i="25" s="1"/>
  <c r="AO64" i="25" s="1"/>
  <c r="AQ64" i="25" s="1"/>
  <c r="AT64" i="25" s="1"/>
  <c r="AU64" i="25" s="1"/>
  <c r="AW64" i="25" s="1"/>
  <c r="AZ64" i="25" s="1"/>
  <c r="K65" i="25"/>
  <c r="M65" i="25" s="1"/>
  <c r="P65" i="25" s="1"/>
  <c r="Q65" i="25"/>
  <c r="S65" i="25" s="1"/>
  <c r="V65" i="25" s="1"/>
  <c r="X65" i="25"/>
  <c r="Y65" i="25"/>
  <c r="Z65" i="25"/>
  <c r="AE65" i="25"/>
  <c r="AF65" i="25"/>
  <c r="AG65" i="25"/>
  <c r="S66" i="25"/>
  <c r="V66" i="25"/>
  <c r="Y66" i="25"/>
  <c r="AB66" i="25"/>
  <c r="AE66" i="25"/>
  <c r="AH66" i="25"/>
  <c r="AI66" i="25" s="1"/>
  <c r="AK66" i="25" s="1"/>
  <c r="AN66" i="25" s="1"/>
  <c r="AO66" i="25" s="1"/>
  <c r="AQ66" i="25" s="1"/>
  <c r="AT66" i="25" s="1"/>
  <c r="AU66" i="25"/>
  <c r="AW66" i="25" s="1"/>
  <c r="AZ66" i="25" s="1"/>
  <c r="S67" i="25"/>
  <c r="V67" i="25" s="1"/>
  <c r="X67" i="25"/>
  <c r="Y67" i="25"/>
  <c r="Z67" i="25"/>
  <c r="AE67" i="25"/>
  <c r="AF67" i="25"/>
  <c r="AG67" i="25"/>
  <c r="W68" i="25"/>
  <c r="Y68" i="25" s="1"/>
  <c r="AB68" i="25"/>
  <c r="AE68" i="25"/>
  <c r="AH68" i="25"/>
  <c r="AI68" i="25" s="1"/>
  <c r="AK68" i="25" s="1"/>
  <c r="AN68" i="25"/>
  <c r="AO68" i="25" s="1"/>
  <c r="AQ68" i="25" s="1"/>
  <c r="AT68" i="25" s="1"/>
  <c r="AU68" i="25" s="1"/>
  <c r="AW68" i="25" s="1"/>
  <c r="AZ68" i="25" s="1"/>
  <c r="AG68" i="25"/>
  <c r="AE69" i="25"/>
  <c r="AH69" i="25"/>
  <c r="AI69" i="25" s="1"/>
  <c r="AK69" i="25" s="1"/>
  <c r="AN69" i="25" s="1"/>
  <c r="AO69" i="25" s="1"/>
  <c r="AQ69" i="25" s="1"/>
  <c r="AT69" i="25"/>
  <c r="AU69" i="25" s="1"/>
  <c r="AW69" i="25" s="1"/>
  <c r="AZ69" i="25" s="1"/>
  <c r="W70" i="25"/>
  <c r="X70" i="25"/>
  <c r="Z70" i="25"/>
  <c r="AE70" i="25"/>
  <c r="AF70" i="25"/>
  <c r="AG70" i="25"/>
  <c r="AD71" i="25"/>
  <c r="AF71" i="25"/>
  <c r="AG71" i="25"/>
  <c r="J78" i="25"/>
  <c r="L78" i="25"/>
  <c r="N78" i="25"/>
  <c r="O78" i="25"/>
  <c r="R78" i="25"/>
  <c r="T78" i="25"/>
  <c r="U78" i="25"/>
  <c r="AA78" i="25"/>
  <c r="AC78" i="25"/>
  <c r="E79" i="25"/>
  <c r="F79" i="25"/>
  <c r="F88" i="25"/>
  <c r="F89" i="25" s="1"/>
  <c r="AB79" i="25"/>
  <c r="AE79" i="25"/>
  <c r="AQ79" i="25"/>
  <c r="K80" i="25"/>
  <c r="M80" i="25" s="1"/>
  <c r="Y80" i="25"/>
  <c r="Z80" i="25"/>
  <c r="AE80" i="25"/>
  <c r="AH80" i="25" s="1"/>
  <c r="AG80" i="25"/>
  <c r="K81" i="25"/>
  <c r="M81" i="25"/>
  <c r="P81" i="25" s="1"/>
  <c r="Q81" i="25" s="1"/>
  <c r="S81" i="25" s="1"/>
  <c r="V81" i="25" s="1"/>
  <c r="X81" i="25"/>
  <c r="AE81" i="25"/>
  <c r="AG81" i="25"/>
  <c r="K82" i="25"/>
  <c r="M82" i="25"/>
  <c r="P82" i="25" s="1"/>
  <c r="Q82" i="25" s="1"/>
  <c r="S82" i="25" s="1"/>
  <c r="V82" i="25" s="1"/>
  <c r="Y82" i="25"/>
  <c r="Z82" i="25"/>
  <c r="AE82" i="25"/>
  <c r="AG82" i="25"/>
  <c r="K83" i="25"/>
  <c r="M83" i="25" s="1"/>
  <c r="P83" i="25" s="1"/>
  <c r="Q83" i="25" s="1"/>
  <c r="S83" i="25" s="1"/>
  <c r="V83" i="25" s="1"/>
  <c r="X83" i="25"/>
  <c r="Y83" i="25" s="1"/>
  <c r="AE83" i="25"/>
  <c r="AH83" i="25" s="1"/>
  <c r="AI83" i="25"/>
  <c r="AK83" i="25" s="1"/>
  <c r="AN83" i="25" s="1"/>
  <c r="AO83" i="25" s="1"/>
  <c r="AQ83" i="25" s="1"/>
  <c r="AT83" i="25" s="1"/>
  <c r="AU83" i="25" s="1"/>
  <c r="AW83" i="25" s="1"/>
  <c r="AZ83" i="25" s="1"/>
  <c r="AG83" i="25"/>
  <c r="K84" i="25"/>
  <c r="M84" i="25" s="1"/>
  <c r="P84" i="25" s="1"/>
  <c r="Q84" i="25" s="1"/>
  <c r="S84" i="25" s="1"/>
  <c r="T84" i="25"/>
  <c r="T88" i="25" s="1"/>
  <c r="X84" i="25"/>
  <c r="Y84" i="25"/>
  <c r="AB84" i="25"/>
  <c r="AE84" i="25"/>
  <c r="AH84" i="25" s="1"/>
  <c r="AI84" i="25"/>
  <c r="AK84" i="25" s="1"/>
  <c r="AN84" i="25" s="1"/>
  <c r="AO84" i="25" s="1"/>
  <c r="AQ84" i="25" s="1"/>
  <c r="AT84" i="25" s="1"/>
  <c r="AU84" i="25" s="1"/>
  <c r="AW84" i="25" s="1"/>
  <c r="AZ84" i="25" s="1"/>
  <c r="AG84" i="25"/>
  <c r="K85" i="25"/>
  <c r="M85" i="25" s="1"/>
  <c r="P85" i="25" s="1"/>
  <c r="Q85" i="25" s="1"/>
  <c r="S85" i="25"/>
  <c r="V85" i="25" s="1"/>
  <c r="Y85" i="25"/>
  <c r="Z85" i="25"/>
  <c r="AE85" i="25"/>
  <c r="AG85" i="25"/>
  <c r="K86" i="25"/>
  <c r="M86" i="25" s="1"/>
  <c r="P86" i="25" s="1"/>
  <c r="Q86" i="25" s="1"/>
  <c r="S86" i="25"/>
  <c r="Y86" i="25"/>
  <c r="AB86" i="25" s="1"/>
  <c r="Z86" i="25"/>
  <c r="AE86" i="25"/>
  <c r="AH86" i="25" s="1"/>
  <c r="AI86" i="25"/>
  <c r="AK86" i="25" s="1"/>
  <c r="AN86" i="25" s="1"/>
  <c r="AO86" i="25" s="1"/>
  <c r="AQ86" i="25" s="1"/>
  <c r="AT86" i="25" s="1"/>
  <c r="AU86" i="25" s="1"/>
  <c r="AW86" i="25" s="1"/>
  <c r="AZ86" i="25" s="1"/>
  <c r="AG86" i="25"/>
  <c r="D88" i="25"/>
  <c r="H88" i="25"/>
  <c r="J88" i="25"/>
  <c r="L88" i="25"/>
  <c r="N88" i="25"/>
  <c r="O88" i="25"/>
  <c r="R88" i="25"/>
  <c r="U88" i="25"/>
  <c r="W88" i="25"/>
  <c r="AA88" i="25"/>
  <c r="AC88" i="25"/>
  <c r="AD88" i="25"/>
  <c r="AF88" i="25"/>
  <c r="AR88" i="25"/>
  <c r="G90" i="25"/>
  <c r="K90" i="25"/>
  <c r="M90" i="25"/>
  <c r="K91" i="25"/>
  <c r="M91" i="25"/>
  <c r="Q91" i="25"/>
  <c r="W91" i="25"/>
  <c r="X91" i="25" s="1"/>
  <c r="Y91" i="25" s="1"/>
  <c r="Z91" i="25" s="1"/>
  <c r="AA91" i="25" s="1"/>
  <c r="AB91" i="25" s="1"/>
  <c r="K92" i="25"/>
  <c r="M92" i="25"/>
  <c r="Q92" i="25"/>
  <c r="W92" i="25"/>
  <c r="X92" i="25"/>
  <c r="Y92" i="25" s="1"/>
  <c r="Z92" i="25"/>
  <c r="AA92" i="25" s="1"/>
  <c r="AB92" i="25" s="1"/>
  <c r="AH92" i="25"/>
  <c r="AI92" i="25" s="1"/>
  <c r="AK92" i="25" s="1"/>
  <c r="AN92" i="25" s="1"/>
  <c r="AO92" i="25" s="1"/>
  <c r="G93" i="25"/>
  <c r="K93" i="25"/>
  <c r="M93" i="25"/>
  <c r="O93" i="25"/>
  <c r="Q93" i="25"/>
  <c r="U93" i="25"/>
  <c r="U99" i="25"/>
  <c r="W93" i="25"/>
  <c r="X93" i="25" s="1"/>
  <c r="Y93" i="25"/>
  <c r="Z93" i="25"/>
  <c r="AE93" i="25"/>
  <c r="AH93" i="25" s="1"/>
  <c r="AI93" i="25" s="1"/>
  <c r="G94" i="25"/>
  <c r="I94" i="25"/>
  <c r="I99" i="25" s="1"/>
  <c r="K94" i="25"/>
  <c r="M94" i="25" s="1"/>
  <c r="O94" i="25"/>
  <c r="Q94" i="25"/>
  <c r="W94" i="25"/>
  <c r="X94" i="25" s="1"/>
  <c r="Y94" i="25" s="1"/>
  <c r="Z94" i="25" s="1"/>
  <c r="AA94" i="25"/>
  <c r="AA93" i="25"/>
  <c r="AE94" i="25"/>
  <c r="AH94" i="25" s="1"/>
  <c r="G95" i="25"/>
  <c r="K95" i="25"/>
  <c r="M95" i="25"/>
  <c r="Q95" i="25"/>
  <c r="W95" i="25"/>
  <c r="X95" i="25"/>
  <c r="Y95" i="25"/>
  <c r="Z95" i="25" s="1"/>
  <c r="AA95" i="25" s="1"/>
  <c r="AE95" i="25"/>
  <c r="AH95" i="25"/>
  <c r="AI95" i="25" s="1"/>
  <c r="AK95" i="25"/>
  <c r="AN95" i="25"/>
  <c r="AO95" i="25" s="1"/>
  <c r="AQ95" i="25" s="1"/>
  <c r="AT95" i="25" s="1"/>
  <c r="AU95" i="25" s="1"/>
  <c r="G96" i="25"/>
  <c r="K96" i="25"/>
  <c r="M96" i="25" s="1"/>
  <c r="O96" i="25"/>
  <c r="Q96" i="25"/>
  <c r="W96" i="25"/>
  <c r="X96" i="25" s="1"/>
  <c r="Y96" i="25" s="1"/>
  <c r="Z96" i="25" s="1"/>
  <c r="AA96" i="25"/>
  <c r="AE96" i="25"/>
  <c r="AH96" i="25"/>
  <c r="G97" i="25"/>
  <c r="K97" i="25"/>
  <c r="M97" i="25" s="1"/>
  <c r="Q97" i="25"/>
  <c r="W97" i="25"/>
  <c r="X97" i="25"/>
  <c r="Y97" i="25" s="1"/>
  <c r="Z97" i="25" s="1"/>
  <c r="AE97" i="25"/>
  <c r="AH97" i="25" s="1"/>
  <c r="G98" i="25"/>
  <c r="K98" i="25"/>
  <c r="M98" i="25" s="1"/>
  <c r="Q98" i="25"/>
  <c r="W98" i="25"/>
  <c r="X98" i="25"/>
  <c r="Y98" i="25" s="1"/>
  <c r="Z98" i="25"/>
  <c r="AA98" i="25" s="1"/>
  <c r="AE98" i="25"/>
  <c r="AH98" i="25" s="1"/>
  <c r="AI98" i="25" s="1"/>
  <c r="AG98" i="25"/>
  <c r="E99" i="25"/>
  <c r="G99" i="25" s="1"/>
  <c r="K99" i="25"/>
  <c r="M99" i="25" s="1"/>
  <c r="Q99" i="25"/>
  <c r="W99" i="25"/>
  <c r="X99" i="25"/>
  <c r="Y99" i="25" s="1"/>
  <c r="Z99" i="25" s="1"/>
  <c r="AE99" i="25"/>
  <c r="AP99" i="25"/>
  <c r="AR99" i="25"/>
  <c r="D15" i="23"/>
  <c r="K11" i="41" s="1"/>
  <c r="G15" i="23"/>
  <c r="N11" i="41" s="1"/>
  <c r="Q11" i="41"/>
  <c r="Y15" i="23"/>
  <c r="D16" i="23"/>
  <c r="N12" i="41"/>
  <c r="Y16" i="23"/>
  <c r="J17" i="23"/>
  <c r="L17" i="23"/>
  <c r="D18" i="23"/>
  <c r="K14" i="41"/>
  <c r="F18" i="23"/>
  <c r="Q14" i="41"/>
  <c r="Y18" i="23"/>
  <c r="Y19" i="23"/>
  <c r="Y20" i="23"/>
  <c r="Q18" i="41"/>
  <c r="L22" i="23"/>
  <c r="D23" i="23"/>
  <c r="K19" i="41" s="1"/>
  <c r="Y23" i="23"/>
  <c r="D24" i="23"/>
  <c r="Y24" i="23"/>
  <c r="D25" i="23"/>
  <c r="K21" i="41"/>
  <c r="G25" i="23"/>
  <c r="N21" i="41"/>
  <c r="Q21" i="41"/>
  <c r="Y25" i="23"/>
  <c r="D26" i="23"/>
  <c r="G26" i="23"/>
  <c r="N22" i="41" s="1"/>
  <c r="Q22" i="41"/>
  <c r="Y26" i="23"/>
  <c r="D27" i="23"/>
  <c r="K23" i="41"/>
  <c r="G27" i="23"/>
  <c r="N23" i="41" s="1"/>
  <c r="Q23" i="41"/>
  <c r="Y27" i="23"/>
  <c r="G28" i="23"/>
  <c r="H28" i="23"/>
  <c r="H29" i="23"/>
  <c r="C29" i="23"/>
  <c r="E29" i="23"/>
  <c r="K29" i="23"/>
  <c r="K34" i="23"/>
  <c r="I30" i="23"/>
  <c r="C17" i="21"/>
  <c r="C20" i="21" s="1"/>
  <c r="C35" i="21" s="1"/>
  <c r="C32" i="21"/>
  <c r="D35" i="21"/>
  <c r="C24" i="60" s="1"/>
  <c r="C24" i="63" s="1"/>
  <c r="C19" i="19"/>
  <c r="D19" i="19"/>
  <c r="E19" i="19"/>
  <c r="G19" i="19"/>
  <c r="H19" i="19"/>
  <c r="K19" i="19"/>
  <c r="M19" i="19"/>
  <c r="N19" i="19"/>
  <c r="C7" i="103"/>
  <c r="D7" i="103"/>
  <c r="C8" i="103"/>
  <c r="D8" i="103"/>
  <c r="C9" i="103"/>
  <c r="C12" i="103" s="1"/>
  <c r="D9" i="103"/>
  <c r="C10" i="103"/>
  <c r="D10" i="103"/>
  <c r="C11" i="103"/>
  <c r="D11" i="103"/>
  <c r="C13" i="103"/>
  <c r="D13" i="103"/>
  <c r="C14" i="103"/>
  <c r="D14" i="103"/>
  <c r="C15" i="103"/>
  <c r="D15" i="103"/>
  <c r="D16" i="103"/>
  <c r="D17" i="103"/>
  <c r="C19" i="103"/>
  <c r="D19" i="103"/>
  <c r="C20" i="103"/>
  <c r="D20" i="103"/>
  <c r="C22" i="103"/>
  <c r="C24" i="103" s="1"/>
  <c r="D22" i="103"/>
  <c r="D23" i="103"/>
  <c r="C9" i="15"/>
  <c r="C11" i="15"/>
  <c r="C27" i="15" s="1"/>
  <c r="C12" i="15"/>
  <c r="C22" i="15"/>
  <c r="D22" i="15"/>
  <c r="D24" i="15"/>
  <c r="D25" i="15"/>
  <c r="C28" i="13"/>
  <c r="C40" i="13"/>
  <c r="C35" i="13"/>
  <c r="D40" i="13"/>
  <c r="E40" i="13"/>
  <c r="C18" i="60" s="1"/>
  <c r="C14" i="12"/>
  <c r="D14" i="12"/>
  <c r="E14" i="12"/>
  <c r="F14" i="12"/>
  <c r="D10" i="152"/>
  <c r="E10" i="152"/>
  <c r="F10" i="152"/>
  <c r="I10" i="152"/>
  <c r="L10" i="152"/>
  <c r="M10" i="152"/>
  <c r="N10" i="152"/>
  <c r="P10" i="152"/>
  <c r="Q10" i="152"/>
  <c r="T10" i="152"/>
  <c r="U10" i="152"/>
  <c r="X10" i="152"/>
  <c r="Y10" i="152"/>
  <c r="D12" i="152"/>
  <c r="L12" i="152"/>
  <c r="P12" i="152"/>
  <c r="T12" i="152"/>
  <c r="X12" i="152" s="1"/>
  <c r="E12" i="152"/>
  <c r="G12" i="152" s="1"/>
  <c r="I12" i="152"/>
  <c r="D13" i="152"/>
  <c r="L13" i="152"/>
  <c r="E13" i="152"/>
  <c r="F13" i="152"/>
  <c r="I13" i="152"/>
  <c r="K13" i="152"/>
  <c r="D15" i="152"/>
  <c r="E15" i="152"/>
  <c r="F15" i="152"/>
  <c r="I15" i="152"/>
  <c r="L15" i="152"/>
  <c r="P15" i="152" s="1"/>
  <c r="T15" i="152" s="1"/>
  <c r="X15" i="152" s="1"/>
  <c r="D16" i="152"/>
  <c r="L16" i="152"/>
  <c r="P16" i="152" s="1"/>
  <c r="T16" i="152" s="1"/>
  <c r="X16" i="152" s="1"/>
  <c r="E16" i="152"/>
  <c r="F16" i="152"/>
  <c r="I16" i="152"/>
  <c r="D18" i="152"/>
  <c r="L18" i="152"/>
  <c r="P18" i="152" s="1"/>
  <c r="E18" i="152"/>
  <c r="I18" i="152"/>
  <c r="K18" i="152" s="1"/>
  <c r="D19" i="152"/>
  <c r="L19" i="152"/>
  <c r="P19" i="152" s="1"/>
  <c r="T19" i="152" s="1"/>
  <c r="X19" i="152" s="1"/>
  <c r="E19" i="152"/>
  <c r="F19" i="152"/>
  <c r="I19" i="152"/>
  <c r="M19" i="152" s="1"/>
  <c r="Q19" i="152" s="1"/>
  <c r="U19" i="152" s="1"/>
  <c r="Y19" i="152" s="1"/>
  <c r="D21" i="152"/>
  <c r="L21" i="152"/>
  <c r="E21" i="152"/>
  <c r="F21" i="152"/>
  <c r="I21" i="152"/>
  <c r="M21" i="152"/>
  <c r="N21" i="152" s="1"/>
  <c r="O21" i="152" s="1"/>
  <c r="P21" i="152"/>
  <c r="Q21" i="152"/>
  <c r="R21" i="152" s="1"/>
  <c r="T21" i="152"/>
  <c r="U21" i="152"/>
  <c r="X21" i="152"/>
  <c r="Y21" i="152"/>
  <c r="D24" i="152"/>
  <c r="L24" i="152"/>
  <c r="E24" i="152"/>
  <c r="G24" i="152"/>
  <c r="I24" i="152"/>
  <c r="Q24" i="152"/>
  <c r="T24" i="152"/>
  <c r="U24" i="152"/>
  <c r="X24" i="152"/>
  <c r="Y24" i="152"/>
  <c r="D25" i="152"/>
  <c r="L25" i="152"/>
  <c r="P25" i="152" s="1"/>
  <c r="T25" i="152" s="1"/>
  <c r="X25" i="152" s="1"/>
  <c r="E25" i="152"/>
  <c r="G25" i="152"/>
  <c r="I25" i="152"/>
  <c r="M25" i="152"/>
  <c r="Q25" i="152"/>
  <c r="U25" i="152"/>
  <c r="Y25" i="152"/>
  <c r="D27" i="152"/>
  <c r="L27" i="152" s="1"/>
  <c r="P27" i="152"/>
  <c r="T27" i="152" s="1"/>
  <c r="X27" i="152" s="1"/>
  <c r="E27" i="152"/>
  <c r="F27" i="152"/>
  <c r="I27" i="152"/>
  <c r="M27" i="152"/>
  <c r="Q27" i="152" s="1"/>
  <c r="U27" i="152" s="1"/>
  <c r="Y27" i="152" s="1"/>
  <c r="D28" i="152"/>
  <c r="L28" i="152"/>
  <c r="P28" i="152" s="1"/>
  <c r="T28" i="152" s="1"/>
  <c r="X28" i="152" s="1"/>
  <c r="E28" i="152"/>
  <c r="G28" i="152"/>
  <c r="I28" i="152"/>
  <c r="K28" i="152"/>
  <c r="D29" i="152"/>
  <c r="L29" i="152"/>
  <c r="P29" i="152" s="1"/>
  <c r="T29" i="152" s="1"/>
  <c r="X29" i="152" s="1"/>
  <c r="E29" i="152"/>
  <c r="F29" i="152"/>
  <c r="I29" i="152"/>
  <c r="M29" i="152"/>
  <c r="Q29" i="152" s="1"/>
  <c r="U29" i="152"/>
  <c r="Y29" i="152"/>
  <c r="D30" i="152"/>
  <c r="L30" i="152"/>
  <c r="P30" i="152" s="1"/>
  <c r="T30" i="152" s="1"/>
  <c r="X30" i="152" s="1"/>
  <c r="E30" i="152"/>
  <c r="F30" i="152"/>
  <c r="I30" i="152"/>
  <c r="K30" i="152" s="1"/>
  <c r="U30" i="152"/>
  <c r="Y30" i="152"/>
  <c r="D31" i="152"/>
  <c r="L31" i="152" s="1"/>
  <c r="P31" i="152"/>
  <c r="T31" i="152" s="1"/>
  <c r="X31" i="152" s="1"/>
  <c r="E31" i="152"/>
  <c r="G31" i="152"/>
  <c r="I31" i="152"/>
  <c r="K31" i="152"/>
  <c r="U31" i="152"/>
  <c r="Y31" i="152"/>
  <c r="H33" i="152"/>
  <c r="J33" i="152"/>
  <c r="D34" i="152"/>
  <c r="E34" i="152"/>
  <c r="F34" i="152"/>
  <c r="I34" i="152"/>
  <c r="L34" i="152"/>
  <c r="P34" i="152" s="1"/>
  <c r="T34" i="152"/>
  <c r="U34" i="152"/>
  <c r="Y34" i="152" s="1"/>
  <c r="X34" i="152"/>
  <c r="D36" i="152"/>
  <c r="E36" i="152"/>
  <c r="I36" i="152"/>
  <c r="L36" i="152"/>
  <c r="P36" i="152" s="1"/>
  <c r="D37" i="152"/>
  <c r="L37" i="152" s="1"/>
  <c r="P37" i="152" s="1"/>
  <c r="T37" i="152" s="1"/>
  <c r="X37" i="152" s="1"/>
  <c r="E37" i="152"/>
  <c r="F37" i="152"/>
  <c r="I37" i="152"/>
  <c r="D40" i="152"/>
  <c r="L40" i="152" s="1"/>
  <c r="E40" i="152"/>
  <c r="F40" i="152"/>
  <c r="I40" i="152"/>
  <c r="K40" i="152" s="1"/>
  <c r="D41" i="152"/>
  <c r="L41" i="152"/>
  <c r="P41" i="152" s="1"/>
  <c r="T41" i="152" s="1"/>
  <c r="X41" i="152" s="1"/>
  <c r="E41" i="152"/>
  <c r="F41" i="152"/>
  <c r="I41" i="152"/>
  <c r="D43" i="152"/>
  <c r="L43" i="152" s="1"/>
  <c r="P43" i="152" s="1"/>
  <c r="T43" i="152" s="1"/>
  <c r="X43" i="152" s="1"/>
  <c r="E43" i="152"/>
  <c r="G43" i="152" s="1"/>
  <c r="I43" i="152"/>
  <c r="M43" i="152"/>
  <c r="Q43" i="152" s="1"/>
  <c r="U43" i="152" s="1"/>
  <c r="Y43" i="152" s="1"/>
  <c r="D44" i="152"/>
  <c r="L44" i="152"/>
  <c r="P44" i="152"/>
  <c r="E44" i="152"/>
  <c r="F44" i="152"/>
  <c r="I44" i="152"/>
  <c r="D46" i="152"/>
  <c r="L46" i="152"/>
  <c r="P46" i="152" s="1"/>
  <c r="T46" i="152" s="1"/>
  <c r="X46" i="152" s="1"/>
  <c r="E46" i="152"/>
  <c r="G46" i="152"/>
  <c r="I46" i="152"/>
  <c r="M46" i="152" s="1"/>
  <c r="Q46" i="152" s="1"/>
  <c r="U46" i="152" s="1"/>
  <c r="Y46" i="152" s="1"/>
  <c r="D47" i="152"/>
  <c r="L47" i="152" s="1"/>
  <c r="P47" i="152"/>
  <c r="T47" i="152" s="1"/>
  <c r="X47" i="152" s="1"/>
  <c r="E47" i="152"/>
  <c r="F47" i="152"/>
  <c r="F54" i="152" s="1"/>
  <c r="I47" i="152"/>
  <c r="K47" i="152" s="1"/>
  <c r="D48" i="152"/>
  <c r="L48" i="152"/>
  <c r="P48" i="152" s="1"/>
  <c r="T48" i="152" s="1"/>
  <c r="X48" i="152" s="1"/>
  <c r="E48" i="152"/>
  <c r="F48" i="152"/>
  <c r="I48" i="152"/>
  <c r="M48" i="152"/>
  <c r="Q48" i="152"/>
  <c r="U48" i="152"/>
  <c r="Y48" i="152"/>
  <c r="L49" i="152"/>
  <c r="D50" i="152"/>
  <c r="L50" i="152"/>
  <c r="P50" i="152" s="1"/>
  <c r="T50" i="152" s="1"/>
  <c r="X50" i="152" s="1"/>
  <c r="E50" i="152"/>
  <c r="G50" i="152" s="1"/>
  <c r="I50" i="152"/>
  <c r="K50" i="152"/>
  <c r="Q50" i="152"/>
  <c r="U50" i="152"/>
  <c r="Y50" i="152"/>
  <c r="D53" i="152"/>
  <c r="L53" i="152" s="1"/>
  <c r="P53" i="152" s="1"/>
  <c r="T53" i="152" s="1"/>
  <c r="X53" i="152" s="1"/>
  <c r="E53" i="152"/>
  <c r="G53" i="152" s="1"/>
  <c r="I53" i="152"/>
  <c r="K53" i="152"/>
  <c r="U53" i="152"/>
  <c r="Y53" i="152"/>
  <c r="H54" i="152"/>
  <c r="J54" i="152"/>
  <c r="F56" i="152"/>
  <c r="F64" i="152"/>
  <c r="N64" i="152"/>
  <c r="R64" i="152"/>
  <c r="V64" i="152"/>
  <c r="Z64" i="152"/>
  <c r="F72" i="152"/>
  <c r="N72" i="152"/>
  <c r="R72" i="152"/>
  <c r="V72" i="152"/>
  <c r="Z72" i="152"/>
  <c r="F76" i="152"/>
  <c r="F78" i="152" s="1"/>
  <c r="N76" i="152"/>
  <c r="N78" i="152" s="1"/>
  <c r="R76" i="152"/>
  <c r="R78" i="152" s="1"/>
  <c r="V76" i="152"/>
  <c r="V78" i="152"/>
  <c r="Z76" i="152"/>
  <c r="Z78" i="152" s="1"/>
  <c r="L84" i="152"/>
  <c r="D6" i="157"/>
  <c r="I6" i="157"/>
  <c r="J6" i="157"/>
  <c r="L6" i="157"/>
  <c r="AF6" i="157"/>
  <c r="AE6" i="157"/>
  <c r="AG6" i="157"/>
  <c r="AH6" i="157" s="1"/>
  <c r="E6" i="157" s="1"/>
  <c r="D7" i="157"/>
  <c r="I7" i="157"/>
  <c r="J7" i="157"/>
  <c r="L7" i="157"/>
  <c r="AF7" i="157"/>
  <c r="AE7" i="157" s="1"/>
  <c r="C7" i="157" s="1"/>
  <c r="AG7" i="157"/>
  <c r="D8" i="157"/>
  <c r="I8" i="157"/>
  <c r="J8" i="157"/>
  <c r="L8" i="157"/>
  <c r="K8" i="157"/>
  <c r="AF8" i="157"/>
  <c r="AG8" i="157"/>
  <c r="AH8" i="157" s="1"/>
  <c r="D9" i="157"/>
  <c r="I9" i="157"/>
  <c r="J9" i="157"/>
  <c r="L9" i="157"/>
  <c r="AF9" i="157"/>
  <c r="AE9" i="157" s="1"/>
  <c r="AG9" i="157"/>
  <c r="AH9" i="157" s="1"/>
  <c r="E9" i="157" s="1"/>
  <c r="C10" i="157"/>
  <c r="I10" i="157"/>
  <c r="J10" i="157"/>
  <c r="Q10" i="157" s="1"/>
  <c r="L10" i="157"/>
  <c r="AF10" i="157"/>
  <c r="AE10" i="157" s="1"/>
  <c r="AG10" i="157"/>
  <c r="AH10" i="157"/>
  <c r="E10" i="157"/>
  <c r="D11" i="157"/>
  <c r="I11" i="157"/>
  <c r="J11" i="157"/>
  <c r="W11" i="157" s="1"/>
  <c r="L11" i="157"/>
  <c r="Y11" i="157" s="1"/>
  <c r="Z11" i="157" s="1"/>
  <c r="AF11" i="157"/>
  <c r="AE11" i="157" s="1"/>
  <c r="C11" i="157" s="1"/>
  <c r="AG11" i="157"/>
  <c r="AH11" i="157"/>
  <c r="AI11" i="157"/>
  <c r="F12" i="157"/>
  <c r="G12" i="157"/>
  <c r="I12" i="157"/>
  <c r="M12" i="157"/>
  <c r="O12" i="157"/>
  <c r="W12" i="157"/>
  <c r="AF12" i="157"/>
  <c r="AE12" i="157" s="1"/>
  <c r="AG12" i="157"/>
  <c r="AH12" i="157"/>
  <c r="AN12" i="157"/>
  <c r="AO12" i="157" s="1"/>
  <c r="R13" i="157"/>
  <c r="D15" i="157"/>
  <c r="I15" i="157"/>
  <c r="J15" i="157"/>
  <c r="L15" i="157"/>
  <c r="O15" i="157"/>
  <c r="AF15" i="157"/>
  <c r="AE15" i="157" s="1"/>
  <c r="AG15" i="157"/>
  <c r="AH15" i="157"/>
  <c r="E15" i="157" s="1"/>
  <c r="F15" i="157" s="1"/>
  <c r="AO15" i="157"/>
  <c r="D16" i="157"/>
  <c r="I16" i="157"/>
  <c r="J16" i="157"/>
  <c r="L16" i="157"/>
  <c r="O16" i="157"/>
  <c r="AF16" i="157"/>
  <c r="AE16" i="157"/>
  <c r="AG16" i="157"/>
  <c r="AO16" i="157"/>
  <c r="D17" i="157"/>
  <c r="I17" i="157"/>
  <c r="J17" i="157"/>
  <c r="L17" i="157"/>
  <c r="O17" i="157"/>
  <c r="AF17" i="157"/>
  <c r="AE17" i="157" s="1"/>
  <c r="AG17" i="157"/>
  <c r="AO17" i="157"/>
  <c r="D18" i="157"/>
  <c r="I18" i="157"/>
  <c r="J18" i="157"/>
  <c r="L18" i="157"/>
  <c r="O18" i="157"/>
  <c r="AF18" i="157"/>
  <c r="AE18" i="157" s="1"/>
  <c r="AG18" i="157"/>
  <c r="AO18" i="157"/>
  <c r="I19" i="157"/>
  <c r="J19" i="157"/>
  <c r="Q19" i="157"/>
  <c r="L19" i="157"/>
  <c r="O19" i="157"/>
  <c r="AF19" i="157"/>
  <c r="AE19" i="157" s="1"/>
  <c r="AG19" i="157"/>
  <c r="AN19" i="157"/>
  <c r="C20" i="157"/>
  <c r="AF20" i="157"/>
  <c r="AG20" i="157"/>
  <c r="AH20" i="157" s="1"/>
  <c r="E20" i="157" s="1"/>
  <c r="I21" i="157"/>
  <c r="J21" i="157"/>
  <c r="L21" i="157"/>
  <c r="O21" i="157"/>
  <c r="O35" i="157" s="1"/>
  <c r="AF21" i="157"/>
  <c r="AE21" i="157" s="1"/>
  <c r="AG21" i="157"/>
  <c r="AN21" i="157"/>
  <c r="D21" i="157" s="1"/>
  <c r="I22" i="157"/>
  <c r="J22" i="157"/>
  <c r="L22" i="157"/>
  <c r="O22" i="157"/>
  <c r="AF22" i="157"/>
  <c r="AE22" i="157" s="1"/>
  <c r="AG22" i="157"/>
  <c r="AN22" i="157"/>
  <c r="AO22" i="157" s="1"/>
  <c r="D23" i="157"/>
  <c r="I23" i="157"/>
  <c r="J23" i="157"/>
  <c r="L23" i="157"/>
  <c r="O23" i="157"/>
  <c r="AF23" i="157"/>
  <c r="AE23" i="157"/>
  <c r="AG23" i="157"/>
  <c r="AO23" i="157"/>
  <c r="I24" i="157"/>
  <c r="J24" i="157"/>
  <c r="L24" i="157"/>
  <c r="O24" i="157"/>
  <c r="AF24" i="157"/>
  <c r="AE24" i="157"/>
  <c r="AG24" i="157"/>
  <c r="AH24" i="157"/>
  <c r="AN24" i="157"/>
  <c r="D24" i="157" s="1"/>
  <c r="I25" i="157"/>
  <c r="J25" i="157"/>
  <c r="L25" i="157"/>
  <c r="O25" i="157"/>
  <c r="AF25" i="157"/>
  <c r="AE25" i="157"/>
  <c r="AG25" i="157"/>
  <c r="AN25" i="157"/>
  <c r="D25" i="157" s="1"/>
  <c r="I26" i="157"/>
  <c r="L26" i="157"/>
  <c r="M26" i="157"/>
  <c r="O26" i="157"/>
  <c r="Q26" i="157"/>
  <c r="W26" i="157"/>
  <c r="AF26" i="157"/>
  <c r="AE26" i="157" s="1"/>
  <c r="AG26" i="157"/>
  <c r="AH26" i="157"/>
  <c r="E26" i="157" s="1"/>
  <c r="F26" i="157" s="1"/>
  <c r="G26" i="157" s="1"/>
  <c r="H26" i="157" s="1"/>
  <c r="AN26" i="157"/>
  <c r="C27" i="157"/>
  <c r="AN27" i="157" s="1"/>
  <c r="I27" i="157"/>
  <c r="L27" i="157"/>
  <c r="O27" i="157"/>
  <c r="Q27" i="157"/>
  <c r="W27" i="157"/>
  <c r="AF27" i="157"/>
  <c r="AE27" i="157" s="1"/>
  <c r="AG27" i="157"/>
  <c r="AH27" i="157"/>
  <c r="E27" i="157"/>
  <c r="F27" i="157" s="1"/>
  <c r="G27" i="157" s="1"/>
  <c r="I28" i="157"/>
  <c r="L28" i="157"/>
  <c r="O28" i="157"/>
  <c r="W28" i="157"/>
  <c r="AF28" i="157"/>
  <c r="AE28" i="157" s="1"/>
  <c r="AG28" i="157"/>
  <c r="AH28" i="157" s="1"/>
  <c r="AN28" i="157"/>
  <c r="M29" i="157"/>
  <c r="P29" i="157"/>
  <c r="W29" i="157"/>
  <c r="Y29" i="157"/>
  <c r="AF29" i="157"/>
  <c r="AE29" i="157" s="1"/>
  <c r="AG29" i="157"/>
  <c r="AN29" i="157"/>
  <c r="D30" i="157"/>
  <c r="I30" i="157"/>
  <c r="J30" i="157"/>
  <c r="W30" i="157"/>
  <c r="L30" i="157"/>
  <c r="K30" i="157" s="1"/>
  <c r="O30" i="157"/>
  <c r="AF30" i="157"/>
  <c r="AE30" i="157" s="1"/>
  <c r="AG30" i="157"/>
  <c r="AH30" i="157" s="1"/>
  <c r="AO30" i="157"/>
  <c r="D31" i="157"/>
  <c r="M31" i="157"/>
  <c r="V31" i="157"/>
  <c r="W31" i="157"/>
  <c r="Y31" i="157"/>
  <c r="AC31" i="157"/>
  <c r="AF31" i="157"/>
  <c r="AE31" i="157"/>
  <c r="AG31" i="157"/>
  <c r="AH31" i="157" s="1"/>
  <c r="AO31" i="157"/>
  <c r="AF32" i="157"/>
  <c r="AE32" i="157" s="1"/>
  <c r="AG32" i="157"/>
  <c r="C33" i="157"/>
  <c r="AF33" i="157"/>
  <c r="AE33" i="157"/>
  <c r="AG33" i="157"/>
  <c r="AH33" i="157"/>
  <c r="F34" i="157"/>
  <c r="G34" i="157" s="1"/>
  <c r="I34" i="157"/>
  <c r="M34" i="157"/>
  <c r="Y34" i="157"/>
  <c r="T34" i="157"/>
  <c r="U34" i="157" s="1"/>
  <c r="W34" i="157"/>
  <c r="R35" i="157"/>
  <c r="AC36" i="157"/>
  <c r="D37" i="157"/>
  <c r="I37" i="157"/>
  <c r="AC37" i="157"/>
  <c r="J37" i="157"/>
  <c r="L37" i="157"/>
  <c r="K37" i="157" s="1"/>
  <c r="S37" i="157"/>
  <c r="AF37" i="157"/>
  <c r="AH37" i="157"/>
  <c r="AC38" i="157"/>
  <c r="I39" i="157"/>
  <c r="L39" i="157"/>
  <c r="W39" i="157"/>
  <c r="AF39" i="157"/>
  <c r="AE39" i="157"/>
  <c r="C39" i="157" s="1"/>
  <c r="F39" i="157" s="1"/>
  <c r="G39" i="157" s="1"/>
  <c r="H39" i="157"/>
  <c r="AG39" i="157"/>
  <c r="AH39" i="157" s="1"/>
  <c r="E39" i="157" s="1"/>
  <c r="I40" i="157"/>
  <c r="L40" i="157"/>
  <c r="M40" i="157" s="1"/>
  <c r="W40" i="157"/>
  <c r="AF40" i="157"/>
  <c r="AE40" i="157" s="1"/>
  <c r="C40" i="157" s="1"/>
  <c r="O40" i="157" s="1"/>
  <c r="P40" i="157" s="1"/>
  <c r="AC40" i="157" s="1"/>
  <c r="AG40" i="157"/>
  <c r="I41" i="157"/>
  <c r="L41" i="157"/>
  <c r="M41" i="157"/>
  <c r="N41" i="157" s="1"/>
  <c r="W41" i="157"/>
  <c r="AF41" i="157"/>
  <c r="AE41" i="157"/>
  <c r="C41" i="157" s="1"/>
  <c r="AG41" i="157"/>
  <c r="I42" i="157"/>
  <c r="L42" i="157"/>
  <c r="W42" i="157"/>
  <c r="AF42" i="157"/>
  <c r="AE42" i="157" s="1"/>
  <c r="C42" i="157"/>
  <c r="O42" i="157" s="1"/>
  <c r="P42" i="157" s="1"/>
  <c r="AG42" i="157"/>
  <c r="AH42" i="157"/>
  <c r="E42" i="157"/>
  <c r="I43" i="157"/>
  <c r="L43" i="157"/>
  <c r="M43" i="157"/>
  <c r="W43" i="157"/>
  <c r="AF43" i="157"/>
  <c r="AE43" i="157" s="1"/>
  <c r="C43" i="157" s="1"/>
  <c r="AG43" i="157"/>
  <c r="AH43" i="157"/>
  <c r="I44" i="157"/>
  <c r="L44" i="157"/>
  <c r="M44" i="157" s="1"/>
  <c r="W44" i="157"/>
  <c r="AF44" i="157"/>
  <c r="AE44" i="157" s="1"/>
  <c r="C44" i="157" s="1"/>
  <c r="AG44" i="157"/>
  <c r="AH44" i="157" s="1"/>
  <c r="E44" i="157" s="1"/>
  <c r="F44" i="157" s="1"/>
  <c r="I45" i="157"/>
  <c r="L45" i="157"/>
  <c r="M45" i="157" s="1"/>
  <c r="N45" i="157"/>
  <c r="W45" i="157"/>
  <c r="AF45" i="157"/>
  <c r="AE45" i="157" s="1"/>
  <c r="C45" i="157"/>
  <c r="AG45" i="157"/>
  <c r="I46" i="157"/>
  <c r="L46" i="157"/>
  <c r="K46" i="157" s="1"/>
  <c r="W46" i="157"/>
  <c r="AF46" i="157"/>
  <c r="AE46" i="157" s="1"/>
  <c r="C46" i="157" s="1"/>
  <c r="O46" i="157" s="1"/>
  <c r="P46" i="157" s="1"/>
  <c r="AG46" i="157"/>
  <c r="I47" i="157"/>
  <c r="L47" i="157"/>
  <c r="W47" i="157"/>
  <c r="AF47" i="157"/>
  <c r="AE47" i="157"/>
  <c r="C47" i="157" s="1"/>
  <c r="AG47" i="157"/>
  <c r="AH47" i="157" s="1"/>
  <c r="E47" i="157" s="1"/>
  <c r="I48" i="157"/>
  <c r="L48" i="157"/>
  <c r="M48" i="157" s="1"/>
  <c r="W48" i="157"/>
  <c r="AF48" i="157"/>
  <c r="AE48" i="157" s="1"/>
  <c r="C48" i="157" s="1"/>
  <c r="AG48" i="157"/>
  <c r="I49" i="157"/>
  <c r="L49" i="157"/>
  <c r="M49" i="157" s="1"/>
  <c r="N49" i="157" s="1"/>
  <c r="W49" i="157"/>
  <c r="AF49" i="157"/>
  <c r="AE49" i="157" s="1"/>
  <c r="C49" i="157"/>
  <c r="O49" i="157"/>
  <c r="P49" i="157" s="1"/>
  <c r="T49" i="157" s="1"/>
  <c r="U49" i="157" s="1"/>
  <c r="AG49" i="157"/>
  <c r="I50" i="157"/>
  <c r="L50" i="157"/>
  <c r="W50" i="157"/>
  <c r="AF50" i="157"/>
  <c r="AE50" i="157"/>
  <c r="C50" i="157"/>
  <c r="O50" i="157" s="1"/>
  <c r="AG50" i="157"/>
  <c r="D51" i="157"/>
  <c r="Q51" i="157"/>
  <c r="W51" i="157" s="1"/>
  <c r="R51" i="157"/>
  <c r="S51" i="157"/>
  <c r="E53" i="157"/>
  <c r="G53" i="157"/>
  <c r="H53" i="157"/>
  <c r="I53" i="157"/>
  <c r="L53" i="157"/>
  <c r="L55" i="157" s="1"/>
  <c r="O53" i="157"/>
  <c r="W53" i="157"/>
  <c r="AF53" i="157"/>
  <c r="AE53" i="157" s="1"/>
  <c r="AG53" i="157"/>
  <c r="AH53" i="157"/>
  <c r="G54" i="157"/>
  <c r="H54" i="157" s="1"/>
  <c r="I54" i="157"/>
  <c r="O54" i="157"/>
  <c r="W54" i="157"/>
  <c r="Z54" i="157" s="1"/>
  <c r="AF54" i="157"/>
  <c r="AE54" i="157"/>
  <c r="AG54" i="157"/>
  <c r="C55" i="157"/>
  <c r="D55" i="157"/>
  <c r="F55" i="157"/>
  <c r="Q55" i="157"/>
  <c r="W55" i="157" s="1"/>
  <c r="R55" i="157"/>
  <c r="S55" i="157"/>
  <c r="AC56" i="157"/>
  <c r="E57" i="157"/>
  <c r="F57" i="157"/>
  <c r="G57" i="157"/>
  <c r="F58" i="157"/>
  <c r="G58" i="157" s="1"/>
  <c r="I58" i="157"/>
  <c r="L58" i="157"/>
  <c r="M58" i="157" s="1"/>
  <c r="W58" i="157"/>
  <c r="F59" i="157"/>
  <c r="G59" i="157"/>
  <c r="H59" i="157" s="1"/>
  <c r="I59" i="157"/>
  <c r="P59" i="157"/>
  <c r="AC59" i="157" s="1"/>
  <c r="L59" i="157"/>
  <c r="M59" i="157"/>
  <c r="O59" i="157"/>
  <c r="W59" i="157"/>
  <c r="F60" i="157"/>
  <c r="G60" i="157"/>
  <c r="H60" i="157"/>
  <c r="I60" i="157"/>
  <c r="P60" i="157" s="1"/>
  <c r="L60" i="157"/>
  <c r="W60" i="157"/>
  <c r="F61" i="157"/>
  <c r="G61" i="157" s="1"/>
  <c r="H61" i="157" s="1"/>
  <c r="M61" i="157"/>
  <c r="Y61" i="157" s="1"/>
  <c r="V61" i="157"/>
  <c r="W61" i="157"/>
  <c r="AC61" i="157"/>
  <c r="F62" i="157"/>
  <c r="G62" i="157" s="1"/>
  <c r="H62" i="157" s="1"/>
  <c r="M62" i="157"/>
  <c r="Y62" i="157" s="1"/>
  <c r="V62" i="157"/>
  <c r="W62" i="157"/>
  <c r="AC62" i="157"/>
  <c r="F63" i="157"/>
  <c r="G63" i="157" s="1"/>
  <c r="H63" i="157" s="1"/>
  <c r="I63" i="157"/>
  <c r="L63" i="157"/>
  <c r="M63" i="157" s="1"/>
  <c r="N63" i="157" s="1"/>
  <c r="O63" i="157"/>
  <c r="W63" i="157"/>
  <c r="C64" i="157"/>
  <c r="I65" i="157"/>
  <c r="L65" i="157"/>
  <c r="O65" i="157"/>
  <c r="W65" i="157"/>
  <c r="AF66" i="157"/>
  <c r="AE66" i="157"/>
  <c r="C66" i="157"/>
  <c r="F66" i="157" s="1"/>
  <c r="G66" i="157" s="1"/>
  <c r="AF67" i="157"/>
  <c r="AE67" i="157"/>
  <c r="C67" i="157" s="1"/>
  <c r="AF68" i="157"/>
  <c r="AE68" i="157"/>
  <c r="C68" i="157"/>
  <c r="F68" i="157"/>
  <c r="G68" i="157" s="1"/>
  <c r="H68" i="157" s="1"/>
  <c r="V69" i="157"/>
  <c r="W69" i="157"/>
  <c r="Y69" i="157"/>
  <c r="AC69" i="157"/>
  <c r="AF69" i="157"/>
  <c r="AE69" i="157" s="1"/>
  <c r="C69" i="157" s="1"/>
  <c r="F69" i="157" s="1"/>
  <c r="G69" i="157" s="1"/>
  <c r="H69" i="157" s="1"/>
  <c r="F70" i="157"/>
  <c r="G70" i="157"/>
  <c r="H70" i="157"/>
  <c r="AF70" i="157"/>
  <c r="C71" i="157"/>
  <c r="F71" i="157" s="1"/>
  <c r="G71" i="157"/>
  <c r="H71" i="157" s="1"/>
  <c r="AF71" i="157"/>
  <c r="F72" i="157"/>
  <c r="G72" i="157"/>
  <c r="H72" i="157"/>
  <c r="I72" i="157"/>
  <c r="L72" i="157"/>
  <c r="M72" i="157"/>
  <c r="O72" i="157"/>
  <c r="W72" i="157"/>
  <c r="AF72" i="157"/>
  <c r="F73" i="157"/>
  <c r="G73" i="157"/>
  <c r="H73" i="157" s="1"/>
  <c r="AF73" i="157"/>
  <c r="Q75" i="157"/>
  <c r="W75" i="157" s="1"/>
  <c r="R75" i="157"/>
  <c r="S75" i="157"/>
  <c r="M77" i="157"/>
  <c r="Z77" i="157"/>
  <c r="T77" i="157"/>
  <c r="V77" i="157"/>
  <c r="W77" i="157"/>
  <c r="G78" i="157"/>
  <c r="M78" i="157"/>
  <c r="V78" i="157"/>
  <c r="W78" i="157"/>
  <c r="G79" i="157"/>
  <c r="T79" i="157" s="1"/>
  <c r="M79" i="157"/>
  <c r="V79" i="157"/>
  <c r="W79" i="157"/>
  <c r="M80" i="157"/>
  <c r="Z80" i="157"/>
  <c r="V80" i="157"/>
  <c r="W80" i="157"/>
  <c r="I81" i="157"/>
  <c r="M81" i="157"/>
  <c r="Z81" i="157"/>
  <c r="P81" i="157"/>
  <c r="T81" i="157" s="1"/>
  <c r="W81" i="157"/>
  <c r="I84" i="157"/>
  <c r="M84" i="157"/>
  <c r="G88" i="157"/>
  <c r="D6" i="156"/>
  <c r="I6" i="156"/>
  <c r="J6" i="156"/>
  <c r="L6" i="156"/>
  <c r="AE6" i="156"/>
  <c r="C6" i="156"/>
  <c r="AG6" i="156"/>
  <c r="AH6" i="156" s="1"/>
  <c r="E6" i="156" s="1"/>
  <c r="D7" i="156"/>
  <c r="I7" i="156"/>
  <c r="J7" i="156"/>
  <c r="L7" i="156"/>
  <c r="K7" i="156"/>
  <c r="AE7" i="156"/>
  <c r="AG7" i="156"/>
  <c r="C8" i="156"/>
  <c r="D8" i="156"/>
  <c r="I8" i="156"/>
  <c r="J8" i="156"/>
  <c r="Q8" i="156"/>
  <c r="L8" i="156"/>
  <c r="M8" i="156" s="1"/>
  <c r="AE8" i="156"/>
  <c r="AG8" i="156"/>
  <c r="C9" i="156"/>
  <c r="O9" i="156" s="1"/>
  <c r="D9" i="156"/>
  <c r="I9" i="156"/>
  <c r="J9" i="156"/>
  <c r="L9" i="156"/>
  <c r="AE9" i="156"/>
  <c r="AG9" i="156"/>
  <c r="AH9" i="156" s="1"/>
  <c r="I10" i="156"/>
  <c r="J10" i="156"/>
  <c r="Q10" i="156"/>
  <c r="L10" i="156"/>
  <c r="O10" i="156"/>
  <c r="AE10" i="156"/>
  <c r="AG10" i="156"/>
  <c r="AH10" i="156" s="1"/>
  <c r="E10" i="156" s="1"/>
  <c r="F10" i="156" s="1"/>
  <c r="G10" i="156" s="1"/>
  <c r="H10" i="156" s="1"/>
  <c r="AN10" i="156"/>
  <c r="AO10" i="156"/>
  <c r="D11" i="156"/>
  <c r="I11" i="156"/>
  <c r="J11" i="156"/>
  <c r="L11" i="156"/>
  <c r="AE11" i="156"/>
  <c r="C11" i="156"/>
  <c r="O11" i="156" s="1"/>
  <c r="AG11" i="156"/>
  <c r="AH11" i="156"/>
  <c r="F12" i="156"/>
  <c r="G12" i="156" s="1"/>
  <c r="I12" i="156"/>
  <c r="K12" i="156"/>
  <c r="M12" i="156"/>
  <c r="N12" i="156" s="1"/>
  <c r="O12" i="156"/>
  <c r="W12" i="156"/>
  <c r="AE12" i="156"/>
  <c r="AG12" i="156"/>
  <c r="AN12" i="156"/>
  <c r="AO12" i="156"/>
  <c r="R13" i="156"/>
  <c r="R82" i="156" s="1"/>
  <c r="D15" i="156"/>
  <c r="I15" i="156"/>
  <c r="J15" i="156"/>
  <c r="L15" i="156"/>
  <c r="K15" i="156" s="1"/>
  <c r="O15" i="156"/>
  <c r="AF15" i="156"/>
  <c r="AE15" i="156"/>
  <c r="AG15" i="156"/>
  <c r="AH15" i="156" s="1"/>
  <c r="AO15" i="156"/>
  <c r="D16" i="156"/>
  <c r="I16" i="156"/>
  <c r="J16" i="156"/>
  <c r="L16" i="156"/>
  <c r="O16" i="156"/>
  <c r="AF16" i="156"/>
  <c r="AE16" i="156"/>
  <c r="AG16" i="156"/>
  <c r="AH16" i="156"/>
  <c r="E16" i="156" s="1"/>
  <c r="F16" i="156" s="1"/>
  <c r="AO16" i="156"/>
  <c r="D17" i="156"/>
  <c r="I17" i="156"/>
  <c r="AC17" i="156"/>
  <c r="J17" i="156"/>
  <c r="L17" i="156"/>
  <c r="O17" i="156"/>
  <c r="P17" i="156" s="1"/>
  <c r="AF17" i="156"/>
  <c r="AE17" i="156" s="1"/>
  <c r="AG17" i="156"/>
  <c r="AH17" i="156"/>
  <c r="E17" i="156"/>
  <c r="F17" i="156" s="1"/>
  <c r="AO17" i="156"/>
  <c r="D18" i="156"/>
  <c r="I18" i="156"/>
  <c r="J18" i="156"/>
  <c r="Q18" i="156"/>
  <c r="L18" i="156"/>
  <c r="O18" i="156"/>
  <c r="AF18" i="156"/>
  <c r="AE18" i="156" s="1"/>
  <c r="AG18" i="156"/>
  <c r="AO18" i="156"/>
  <c r="I19" i="156"/>
  <c r="J19" i="156"/>
  <c r="L19" i="156"/>
  <c r="O19" i="156"/>
  <c r="AF19" i="156"/>
  <c r="AE19" i="156" s="1"/>
  <c r="AG19" i="156"/>
  <c r="AH19" i="156"/>
  <c r="AN19" i="156"/>
  <c r="D19" i="156" s="1"/>
  <c r="C20" i="156"/>
  <c r="F20" i="156" s="1"/>
  <c r="AG20" i="156"/>
  <c r="AH20" i="156"/>
  <c r="E20" i="156" s="1"/>
  <c r="I21" i="156"/>
  <c r="J21" i="156"/>
  <c r="L21" i="156"/>
  <c r="O21" i="156"/>
  <c r="AF21" i="156"/>
  <c r="AE21" i="156"/>
  <c r="AG21" i="156"/>
  <c r="AH21" i="156" s="1"/>
  <c r="AN21" i="156"/>
  <c r="D21" i="156"/>
  <c r="I22" i="156"/>
  <c r="P22" i="156" s="1"/>
  <c r="AC22" i="156" s="1"/>
  <c r="J22" i="156"/>
  <c r="L22" i="156"/>
  <c r="O22" i="156"/>
  <c r="AF22" i="156"/>
  <c r="AE22" i="156" s="1"/>
  <c r="AG22" i="156"/>
  <c r="AH22" i="156"/>
  <c r="AN22" i="156"/>
  <c r="AO22" i="156" s="1"/>
  <c r="D23" i="156"/>
  <c r="I23" i="156"/>
  <c r="J23" i="156"/>
  <c r="L23" i="156"/>
  <c r="O23" i="156"/>
  <c r="AF23" i="156"/>
  <c r="AE23" i="156" s="1"/>
  <c r="AG23" i="156"/>
  <c r="AH23" i="156" s="1"/>
  <c r="AO23" i="156"/>
  <c r="I24" i="156"/>
  <c r="J24" i="156"/>
  <c r="Q24" i="156" s="1"/>
  <c r="W24" i="156" s="1"/>
  <c r="L24" i="156"/>
  <c r="M24" i="156" s="1"/>
  <c r="N24" i="156" s="1"/>
  <c r="O24" i="156"/>
  <c r="AF24" i="156"/>
  <c r="AE24" i="156" s="1"/>
  <c r="AG24" i="156"/>
  <c r="AH24" i="156"/>
  <c r="E24" i="156"/>
  <c r="F24" i="156" s="1"/>
  <c r="AN24" i="156"/>
  <c r="AO24" i="156" s="1"/>
  <c r="I25" i="156"/>
  <c r="J25" i="156"/>
  <c r="L25" i="156"/>
  <c r="O25" i="156"/>
  <c r="AF25" i="156"/>
  <c r="AE25" i="156"/>
  <c r="AG25" i="156"/>
  <c r="AH25" i="156" s="1"/>
  <c r="E25" i="156" s="1"/>
  <c r="F25" i="156" s="1"/>
  <c r="AN25" i="156"/>
  <c r="D25" i="156"/>
  <c r="I26" i="156"/>
  <c r="L26" i="156"/>
  <c r="O26" i="156"/>
  <c r="Q26" i="156"/>
  <c r="W26" i="156" s="1"/>
  <c r="AF26" i="156"/>
  <c r="AE26" i="156"/>
  <c r="AG26" i="156"/>
  <c r="AH26" i="156" s="1"/>
  <c r="AN26" i="156"/>
  <c r="C27" i="156"/>
  <c r="AN27" i="156" s="1"/>
  <c r="I27" i="156"/>
  <c r="L27" i="156"/>
  <c r="O27" i="156"/>
  <c r="P27" i="156" s="1"/>
  <c r="Q27" i="156"/>
  <c r="W27" i="156" s="1"/>
  <c r="AF27" i="156"/>
  <c r="AE27" i="156" s="1"/>
  <c r="AG27" i="156"/>
  <c r="I28" i="156"/>
  <c r="L28" i="156"/>
  <c r="M28" i="156" s="1"/>
  <c r="O28" i="156"/>
  <c r="W28" i="156"/>
  <c r="AF28" i="156"/>
  <c r="AE28" i="156" s="1"/>
  <c r="AG28" i="156"/>
  <c r="AH28" i="156" s="1"/>
  <c r="E28" i="156" s="1"/>
  <c r="F28" i="156" s="1"/>
  <c r="G28" i="156" s="1"/>
  <c r="H28" i="156" s="1"/>
  <c r="AN28" i="156"/>
  <c r="M29" i="156"/>
  <c r="P29" i="156"/>
  <c r="V29" i="156" s="1"/>
  <c r="W29" i="156"/>
  <c r="Y29" i="156"/>
  <c r="AF29" i="156"/>
  <c r="AE29" i="156" s="1"/>
  <c r="AG29" i="156"/>
  <c r="AH29" i="156"/>
  <c r="E29" i="156" s="1"/>
  <c r="AN29" i="156"/>
  <c r="D30" i="156"/>
  <c r="I30" i="156"/>
  <c r="J30" i="156"/>
  <c r="W30" i="156" s="1"/>
  <c r="L30" i="156"/>
  <c r="O30" i="156"/>
  <c r="P30" i="156" s="1"/>
  <c r="AF30" i="156"/>
  <c r="AE30" i="156" s="1"/>
  <c r="AG30" i="156"/>
  <c r="AO30" i="156"/>
  <c r="D31" i="156"/>
  <c r="M31" i="156"/>
  <c r="V31" i="156"/>
  <c r="W31" i="156"/>
  <c r="Z31" i="156" s="1"/>
  <c r="Y31" i="156"/>
  <c r="AC31" i="156"/>
  <c r="AF31" i="156"/>
  <c r="AE31" i="156"/>
  <c r="AG31" i="156"/>
  <c r="AO31" i="156"/>
  <c r="AF32" i="156"/>
  <c r="AE32" i="156"/>
  <c r="AG32" i="156"/>
  <c r="C33" i="156"/>
  <c r="AF33" i="156"/>
  <c r="AE33" i="156"/>
  <c r="AG33" i="156"/>
  <c r="F34" i="156"/>
  <c r="G34" i="156"/>
  <c r="I34" i="156"/>
  <c r="M34" i="156"/>
  <c r="T34" i="156"/>
  <c r="Y34" i="156" s="1"/>
  <c r="Z34" i="156" s="1"/>
  <c r="W34" i="156"/>
  <c r="R35" i="156"/>
  <c r="AC36" i="156"/>
  <c r="I37" i="156"/>
  <c r="AC37" i="156" s="1"/>
  <c r="J37" i="156"/>
  <c r="W37" i="156"/>
  <c r="L37" i="156"/>
  <c r="AF37" i="156"/>
  <c r="AG37" i="156"/>
  <c r="AH37" i="156"/>
  <c r="E37" i="156"/>
  <c r="AC38" i="156"/>
  <c r="I39" i="156"/>
  <c r="L39" i="156"/>
  <c r="M39" i="156" s="1"/>
  <c r="W39" i="156"/>
  <c r="AF39" i="156"/>
  <c r="AE39" i="156"/>
  <c r="C39" i="156"/>
  <c r="AG39" i="156"/>
  <c r="AH39" i="156" s="1"/>
  <c r="I40" i="156"/>
  <c r="L40" i="156"/>
  <c r="M40" i="156" s="1"/>
  <c r="W40" i="156"/>
  <c r="AF40" i="156"/>
  <c r="AE40" i="156" s="1"/>
  <c r="C40" i="156" s="1"/>
  <c r="O40" i="156"/>
  <c r="AG40" i="156"/>
  <c r="AH40" i="156" s="1"/>
  <c r="E40" i="156"/>
  <c r="I41" i="156"/>
  <c r="L41" i="156"/>
  <c r="M41" i="156" s="1"/>
  <c r="N41" i="156" s="1"/>
  <c r="W41" i="156"/>
  <c r="AF41" i="156"/>
  <c r="AE41" i="156" s="1"/>
  <c r="C41" i="156" s="1"/>
  <c r="AG41" i="156"/>
  <c r="I42" i="156"/>
  <c r="L42" i="156"/>
  <c r="W42" i="156"/>
  <c r="AF42" i="156"/>
  <c r="AE42" i="156" s="1"/>
  <c r="C42" i="156" s="1"/>
  <c r="AG42" i="156"/>
  <c r="AH42" i="156"/>
  <c r="I43" i="156"/>
  <c r="L43" i="156"/>
  <c r="M43" i="156"/>
  <c r="W43" i="156"/>
  <c r="AF43" i="156"/>
  <c r="AE43" i="156" s="1"/>
  <c r="C43" i="156" s="1"/>
  <c r="O43" i="156" s="1"/>
  <c r="P43" i="156" s="1"/>
  <c r="AG43" i="156"/>
  <c r="I44" i="156"/>
  <c r="L44" i="156"/>
  <c r="W44" i="156"/>
  <c r="AF44" i="156"/>
  <c r="AE44" i="156"/>
  <c r="C44" i="156" s="1"/>
  <c r="O44" i="156" s="1"/>
  <c r="P44" i="156" s="1"/>
  <c r="AG44" i="156"/>
  <c r="I45" i="156"/>
  <c r="L45" i="156"/>
  <c r="W45" i="156"/>
  <c r="AF45" i="156"/>
  <c r="AE45" i="156" s="1"/>
  <c r="C45" i="156" s="1"/>
  <c r="O45" i="156"/>
  <c r="P45" i="156" s="1"/>
  <c r="AG45" i="156"/>
  <c r="AH45" i="156"/>
  <c r="I46" i="156"/>
  <c r="L46" i="156"/>
  <c r="W46" i="156"/>
  <c r="AF46" i="156"/>
  <c r="AE46" i="156" s="1"/>
  <c r="C46" i="156" s="1"/>
  <c r="AG46" i="156"/>
  <c r="I47" i="156"/>
  <c r="N47" i="156" s="1"/>
  <c r="L47" i="156"/>
  <c r="W47" i="156"/>
  <c r="AF47" i="156"/>
  <c r="AE47" i="156" s="1"/>
  <c r="C47" i="156" s="1"/>
  <c r="O47" i="156" s="1"/>
  <c r="P47" i="156" s="1"/>
  <c r="T47" i="156" s="1"/>
  <c r="U47" i="156" s="1"/>
  <c r="AG47" i="156"/>
  <c r="AH47" i="156"/>
  <c r="I48" i="156"/>
  <c r="L48" i="156"/>
  <c r="M48" i="156" s="1"/>
  <c r="N48" i="156" s="1"/>
  <c r="W48" i="156"/>
  <c r="AF48" i="156"/>
  <c r="AE48" i="156" s="1"/>
  <c r="C48" i="156" s="1"/>
  <c r="O48" i="156"/>
  <c r="P48" i="156"/>
  <c r="AC48" i="156" s="1"/>
  <c r="AG48" i="156"/>
  <c r="AH48" i="156"/>
  <c r="I49" i="156"/>
  <c r="L49" i="156"/>
  <c r="W49" i="156"/>
  <c r="AF49" i="156"/>
  <c r="AE49" i="156"/>
  <c r="C49" i="156" s="1"/>
  <c r="O49" i="156" s="1"/>
  <c r="P49" i="156"/>
  <c r="AG49" i="156"/>
  <c r="I50" i="156"/>
  <c r="L50" i="156"/>
  <c r="W50" i="156"/>
  <c r="AF50" i="156"/>
  <c r="AE50" i="156" s="1"/>
  <c r="C50" i="156" s="1"/>
  <c r="AG50" i="156"/>
  <c r="AH50" i="156"/>
  <c r="E50" i="156" s="1"/>
  <c r="D51" i="156"/>
  <c r="Q51" i="156"/>
  <c r="W51" i="156" s="1"/>
  <c r="R51" i="156"/>
  <c r="S51" i="156"/>
  <c r="E53" i="156"/>
  <c r="G53" i="156"/>
  <c r="H53" i="156" s="1"/>
  <c r="I53" i="156"/>
  <c r="P53" i="156"/>
  <c r="L53" i="156"/>
  <c r="O53" i="156"/>
  <c r="W53" i="156"/>
  <c r="AF53" i="156"/>
  <c r="AE53" i="156"/>
  <c r="AG53" i="156"/>
  <c r="AH53" i="156"/>
  <c r="G54" i="156"/>
  <c r="G55" i="156" s="1"/>
  <c r="H54" i="156"/>
  <c r="I54" i="156"/>
  <c r="O54" i="156"/>
  <c r="W54" i="156"/>
  <c r="Z54" i="156"/>
  <c r="AF54" i="156"/>
  <c r="AE54" i="156"/>
  <c r="AG54" i="156"/>
  <c r="C55" i="156"/>
  <c r="D55" i="156"/>
  <c r="F55" i="156"/>
  <c r="Q55" i="156"/>
  <c r="W55" i="156"/>
  <c r="R55" i="156"/>
  <c r="S55" i="156"/>
  <c r="AC56" i="156"/>
  <c r="E57" i="156"/>
  <c r="F57" i="156" s="1"/>
  <c r="F64" i="156" s="1"/>
  <c r="F58" i="156"/>
  <c r="G58" i="156"/>
  <c r="H58" i="156"/>
  <c r="I58" i="156"/>
  <c r="P58" i="156"/>
  <c r="L58" i="156"/>
  <c r="W58" i="156"/>
  <c r="F59" i="156"/>
  <c r="G59" i="156"/>
  <c r="H59" i="156"/>
  <c r="I59" i="156"/>
  <c r="L59" i="156"/>
  <c r="M59" i="156" s="1"/>
  <c r="O59" i="156"/>
  <c r="W59" i="156"/>
  <c r="F60" i="156"/>
  <c r="G60" i="156"/>
  <c r="H60" i="156" s="1"/>
  <c r="I60" i="156"/>
  <c r="P60" i="156"/>
  <c r="L60" i="156"/>
  <c r="M60" i="156" s="1"/>
  <c r="W60" i="156"/>
  <c r="F61" i="156"/>
  <c r="G61" i="156"/>
  <c r="H61" i="156" s="1"/>
  <c r="M61" i="156"/>
  <c r="Y61" i="156"/>
  <c r="Z61" i="156" s="1"/>
  <c r="V61" i="156"/>
  <c r="W61" i="156"/>
  <c r="AC61" i="156"/>
  <c r="F62" i="156"/>
  <c r="G62" i="156"/>
  <c r="H62" i="156" s="1"/>
  <c r="M62" i="156"/>
  <c r="Y62" i="156"/>
  <c r="Z62" i="156"/>
  <c r="V62" i="156"/>
  <c r="W62" i="156"/>
  <c r="AC62" i="156"/>
  <c r="F63" i="156"/>
  <c r="G63" i="156" s="1"/>
  <c r="H63" i="156" s="1"/>
  <c r="I63" i="156"/>
  <c r="L63" i="156"/>
  <c r="M63" i="156" s="1"/>
  <c r="O63" i="156"/>
  <c r="W63" i="156"/>
  <c r="C64" i="156"/>
  <c r="I65" i="156"/>
  <c r="L65" i="156"/>
  <c r="M65" i="156"/>
  <c r="O65" i="156"/>
  <c r="W65" i="156"/>
  <c r="AF66" i="156"/>
  <c r="AE66" i="156"/>
  <c r="C66" i="156" s="1"/>
  <c r="AF67" i="156"/>
  <c r="AE67" i="156" s="1"/>
  <c r="C67" i="156" s="1"/>
  <c r="F67" i="156" s="1"/>
  <c r="G67" i="156" s="1"/>
  <c r="H67" i="156" s="1"/>
  <c r="AF68" i="156"/>
  <c r="AE68" i="156"/>
  <c r="C68" i="156"/>
  <c r="F68" i="156" s="1"/>
  <c r="G68" i="156" s="1"/>
  <c r="H68" i="156" s="1"/>
  <c r="V69" i="156"/>
  <c r="W69" i="156"/>
  <c r="Y69" i="156"/>
  <c r="AC69" i="156"/>
  <c r="AF69" i="156"/>
  <c r="AE69" i="156" s="1"/>
  <c r="C69" i="156" s="1"/>
  <c r="F69" i="156"/>
  <c r="G69" i="156" s="1"/>
  <c r="H69" i="156" s="1"/>
  <c r="F70" i="156"/>
  <c r="G70" i="156"/>
  <c r="H70" i="156"/>
  <c r="C71" i="156"/>
  <c r="F71" i="156" s="1"/>
  <c r="G71" i="156"/>
  <c r="H71" i="156"/>
  <c r="F72" i="156"/>
  <c r="G72" i="156"/>
  <c r="H72" i="156"/>
  <c r="I72" i="156"/>
  <c r="L72" i="156"/>
  <c r="O72" i="156"/>
  <c r="W72" i="156"/>
  <c r="C73" i="156"/>
  <c r="Q75" i="156"/>
  <c r="W75" i="156"/>
  <c r="R75" i="156"/>
  <c r="S75" i="156"/>
  <c r="M77" i="156"/>
  <c r="Z77" i="156" s="1"/>
  <c r="T77" i="156"/>
  <c r="V77" i="156"/>
  <c r="W77" i="156"/>
  <c r="M78" i="156"/>
  <c r="V78" i="156"/>
  <c r="W78" i="156"/>
  <c r="G79" i="156"/>
  <c r="M79" i="156"/>
  <c r="V79" i="156"/>
  <c r="W79" i="156"/>
  <c r="M80" i="156"/>
  <c r="Z80" i="156"/>
  <c r="V80" i="156"/>
  <c r="W80" i="156"/>
  <c r="I81" i="156"/>
  <c r="M81" i="156"/>
  <c r="P81" i="156"/>
  <c r="W81" i="156"/>
  <c r="I84" i="156"/>
  <c r="M84" i="156"/>
  <c r="G88" i="156"/>
  <c r="F6" i="155"/>
  <c r="G6" i="155" s="1"/>
  <c r="I6" i="155"/>
  <c r="J6" i="155"/>
  <c r="L6" i="155"/>
  <c r="O6" i="155"/>
  <c r="AF6" i="155"/>
  <c r="AG6" i="155"/>
  <c r="F7" i="155"/>
  <c r="G7" i="155" s="1"/>
  <c r="H7" i="155" s="1"/>
  <c r="I7" i="155"/>
  <c r="K7" i="155"/>
  <c r="J7" i="155"/>
  <c r="Q7" i="155"/>
  <c r="L7" i="155"/>
  <c r="O7" i="155"/>
  <c r="AF7" i="155"/>
  <c r="AG7" i="155"/>
  <c r="F8" i="155"/>
  <c r="G8" i="155"/>
  <c r="H8" i="155" s="1"/>
  <c r="I8" i="155"/>
  <c r="J8" i="155"/>
  <c r="L8" i="155"/>
  <c r="O8" i="155"/>
  <c r="AF8" i="155"/>
  <c r="AG8" i="155"/>
  <c r="C9" i="155"/>
  <c r="I9" i="155"/>
  <c r="J9" i="155"/>
  <c r="L9" i="155"/>
  <c r="C10" i="155"/>
  <c r="O10" i="155" s="1"/>
  <c r="D10" i="155"/>
  <c r="I10" i="155"/>
  <c r="J10" i="155"/>
  <c r="L10" i="155"/>
  <c r="F11" i="155"/>
  <c r="G11" i="155"/>
  <c r="I11" i="155"/>
  <c r="J11" i="155"/>
  <c r="W11" i="155" s="1"/>
  <c r="L11" i="155"/>
  <c r="O11" i="155"/>
  <c r="AF11" i="155"/>
  <c r="AG11" i="155"/>
  <c r="D12" i="155"/>
  <c r="F12" i="155"/>
  <c r="I12" i="155"/>
  <c r="M12" i="155"/>
  <c r="O12" i="155"/>
  <c r="W12" i="155"/>
  <c r="R13" i="155"/>
  <c r="D15" i="155"/>
  <c r="F15" i="155"/>
  <c r="I15" i="155"/>
  <c r="J15" i="155"/>
  <c r="Q15" i="155" s="1"/>
  <c r="W15" i="155"/>
  <c r="L15" i="155"/>
  <c r="O15" i="155"/>
  <c r="AG15" i="155"/>
  <c r="D16" i="155"/>
  <c r="F16" i="155"/>
  <c r="I16" i="155"/>
  <c r="J16" i="155"/>
  <c r="L16" i="155"/>
  <c r="O16" i="155"/>
  <c r="AG16" i="155"/>
  <c r="D17" i="155"/>
  <c r="F17" i="155"/>
  <c r="I17" i="155"/>
  <c r="J17" i="155"/>
  <c r="L17" i="155"/>
  <c r="O17" i="155"/>
  <c r="AG17" i="155"/>
  <c r="D18" i="155"/>
  <c r="F18" i="155"/>
  <c r="I18" i="155"/>
  <c r="J18" i="155"/>
  <c r="Q18" i="155"/>
  <c r="L18" i="155"/>
  <c r="K18" i="155"/>
  <c r="O18" i="155"/>
  <c r="AG18" i="155"/>
  <c r="D19" i="155"/>
  <c r="F19" i="155"/>
  <c r="I19" i="155"/>
  <c r="J19" i="155"/>
  <c r="M19" i="155"/>
  <c r="N19" i="155"/>
  <c r="L19" i="155"/>
  <c r="O19" i="155"/>
  <c r="AG19" i="155"/>
  <c r="C20" i="155"/>
  <c r="F20" i="155" s="1"/>
  <c r="E20" i="155"/>
  <c r="D21" i="155"/>
  <c r="F21" i="155"/>
  <c r="I21" i="155"/>
  <c r="J21" i="155"/>
  <c r="Q21" i="155"/>
  <c r="W21" i="155" s="1"/>
  <c r="L21" i="155"/>
  <c r="O21" i="155"/>
  <c r="P21" i="155"/>
  <c r="AG21" i="155"/>
  <c r="F22" i="155"/>
  <c r="G22" i="155" s="1"/>
  <c r="H22" i="155"/>
  <c r="I22" i="155"/>
  <c r="J22" i="155"/>
  <c r="L22" i="155"/>
  <c r="O22" i="155"/>
  <c r="AG22" i="155"/>
  <c r="D23" i="155"/>
  <c r="F23" i="155"/>
  <c r="I23" i="155"/>
  <c r="J23" i="155"/>
  <c r="L23" i="155"/>
  <c r="O23" i="155"/>
  <c r="AG23" i="155"/>
  <c r="D24" i="155"/>
  <c r="F24" i="155"/>
  <c r="I24" i="155"/>
  <c r="K24" i="155" s="1"/>
  <c r="P24" i="155"/>
  <c r="V24" i="155" s="1"/>
  <c r="J24" i="155"/>
  <c r="L24" i="155"/>
  <c r="O24" i="155"/>
  <c r="AG24" i="155"/>
  <c r="D25" i="155"/>
  <c r="F25" i="155"/>
  <c r="I25" i="155"/>
  <c r="J25" i="155"/>
  <c r="M25" i="155" s="1"/>
  <c r="L25" i="155"/>
  <c r="O25" i="155"/>
  <c r="AG25" i="155"/>
  <c r="F26" i="155"/>
  <c r="G26" i="155" s="1"/>
  <c r="H26" i="155" s="1"/>
  <c r="I26" i="155"/>
  <c r="L26" i="155"/>
  <c r="O26" i="155"/>
  <c r="Q26" i="155"/>
  <c r="AF26" i="155"/>
  <c r="C27" i="155"/>
  <c r="F27" i="155" s="1"/>
  <c r="I27" i="155"/>
  <c r="L27" i="155"/>
  <c r="O27" i="155"/>
  <c r="Q27" i="155"/>
  <c r="W27" i="155"/>
  <c r="F28" i="155"/>
  <c r="G28" i="155" s="1"/>
  <c r="H28" i="155" s="1"/>
  <c r="M28" i="155"/>
  <c r="V28" i="155"/>
  <c r="W28" i="155"/>
  <c r="Y28" i="155"/>
  <c r="AF28" i="155"/>
  <c r="F29" i="155"/>
  <c r="G29" i="155" s="1"/>
  <c r="I29" i="155"/>
  <c r="P29" i="155" s="1"/>
  <c r="L29" i="155"/>
  <c r="O29" i="155"/>
  <c r="W29" i="155"/>
  <c r="AF29" i="155"/>
  <c r="F30" i="155"/>
  <c r="G30" i="155"/>
  <c r="H30" i="155"/>
  <c r="M30" i="155"/>
  <c r="P30" i="155"/>
  <c r="V30" i="155"/>
  <c r="W30" i="155"/>
  <c r="Y30" i="155"/>
  <c r="AF30" i="155"/>
  <c r="D31" i="155"/>
  <c r="F31" i="155"/>
  <c r="I31" i="155"/>
  <c r="J31" i="155"/>
  <c r="W31" i="155"/>
  <c r="L31" i="155"/>
  <c r="O31" i="155"/>
  <c r="AG31" i="155"/>
  <c r="D32" i="155"/>
  <c r="F32" i="155"/>
  <c r="M32" i="155"/>
  <c r="V32" i="155"/>
  <c r="W32" i="155"/>
  <c r="Y32" i="155"/>
  <c r="AG32" i="155"/>
  <c r="I33" i="155"/>
  <c r="J33" i="155"/>
  <c r="L33" i="155"/>
  <c r="K33" i="155" s="1"/>
  <c r="AG33" i="155"/>
  <c r="F34" i="155"/>
  <c r="G34" i="155"/>
  <c r="H34" i="155"/>
  <c r="C35" i="155"/>
  <c r="F35" i="155"/>
  <c r="G35" i="155"/>
  <c r="H35" i="155"/>
  <c r="F36" i="155"/>
  <c r="G36" i="155" s="1"/>
  <c r="I36" i="155"/>
  <c r="M36" i="155"/>
  <c r="T36" i="155"/>
  <c r="U36" i="155"/>
  <c r="W36" i="155"/>
  <c r="R37" i="155"/>
  <c r="C39" i="155"/>
  <c r="I39" i="155"/>
  <c r="J39" i="155"/>
  <c r="L39" i="155"/>
  <c r="F41" i="155"/>
  <c r="G41" i="155"/>
  <c r="H41" i="155"/>
  <c r="I41" i="155"/>
  <c r="L41" i="155"/>
  <c r="O41" i="155"/>
  <c r="W41" i="155"/>
  <c r="F42" i="155"/>
  <c r="G42" i="155" s="1"/>
  <c r="I42" i="155"/>
  <c r="L42" i="155"/>
  <c r="O42" i="155"/>
  <c r="O53" i="155" s="1"/>
  <c r="W42" i="155"/>
  <c r="F43" i="155"/>
  <c r="G43" i="155"/>
  <c r="H43" i="155"/>
  <c r="I43" i="155"/>
  <c r="L43" i="155"/>
  <c r="O43" i="155"/>
  <c r="P43" i="155" s="1"/>
  <c r="V43" i="155" s="1"/>
  <c r="W43" i="155"/>
  <c r="F44" i="155"/>
  <c r="G44" i="155" s="1"/>
  <c r="H44" i="155" s="1"/>
  <c r="I44" i="155"/>
  <c r="L44" i="155"/>
  <c r="M44" i="155"/>
  <c r="O44" i="155"/>
  <c r="W44" i="155"/>
  <c r="F45" i="155"/>
  <c r="G45" i="155" s="1"/>
  <c r="H45" i="155" s="1"/>
  <c r="I45" i="155"/>
  <c r="L45" i="155"/>
  <c r="M45" i="155"/>
  <c r="N45" i="155"/>
  <c r="O45" i="155"/>
  <c r="W45" i="155"/>
  <c r="F46" i="155"/>
  <c r="G46" i="155"/>
  <c r="H46" i="155"/>
  <c r="I46" i="155"/>
  <c r="L46" i="155"/>
  <c r="O46" i="155"/>
  <c r="W46" i="155"/>
  <c r="F47" i="155"/>
  <c r="G47" i="155" s="1"/>
  <c r="H47" i="155" s="1"/>
  <c r="I47" i="155"/>
  <c r="L47" i="155"/>
  <c r="M47" i="155"/>
  <c r="O47" i="155"/>
  <c r="W47" i="155"/>
  <c r="F48" i="155"/>
  <c r="G48" i="155" s="1"/>
  <c r="H48" i="155" s="1"/>
  <c r="I48" i="155"/>
  <c r="L48" i="155"/>
  <c r="O48" i="155"/>
  <c r="W48" i="155"/>
  <c r="F49" i="155"/>
  <c r="G49" i="155" s="1"/>
  <c r="H49" i="155" s="1"/>
  <c r="I49" i="155"/>
  <c r="L49" i="155"/>
  <c r="M49" i="155" s="1"/>
  <c r="N49" i="155" s="1"/>
  <c r="O49" i="155"/>
  <c r="W49" i="155"/>
  <c r="F50" i="155"/>
  <c r="G50" i="155" s="1"/>
  <c r="H50" i="155" s="1"/>
  <c r="I50" i="155"/>
  <c r="L50" i="155"/>
  <c r="O50" i="155"/>
  <c r="W50" i="155"/>
  <c r="F51" i="155"/>
  <c r="G51" i="155" s="1"/>
  <c r="H51" i="155" s="1"/>
  <c r="I51" i="155"/>
  <c r="K51" i="155"/>
  <c r="L51" i="155"/>
  <c r="O51" i="155"/>
  <c r="W51" i="155"/>
  <c r="F52" i="155"/>
  <c r="G52" i="155" s="1"/>
  <c r="I52" i="155"/>
  <c r="L52" i="155"/>
  <c r="O52" i="155"/>
  <c r="W52" i="155"/>
  <c r="C53" i="155"/>
  <c r="D53" i="155"/>
  <c r="Q53" i="155"/>
  <c r="W53" i="155" s="1"/>
  <c r="R53" i="155"/>
  <c r="S53" i="155"/>
  <c r="H55" i="155"/>
  <c r="I55" i="155"/>
  <c r="L55" i="155"/>
  <c r="L57" i="155" s="1"/>
  <c r="O55" i="155"/>
  <c r="W55" i="155"/>
  <c r="H56" i="155"/>
  <c r="I56" i="155"/>
  <c r="O56" i="155"/>
  <c r="W56" i="155"/>
  <c r="Z56" i="155"/>
  <c r="C57" i="155"/>
  <c r="D57" i="155"/>
  <c r="F57" i="155"/>
  <c r="G57" i="155"/>
  <c r="Q57" i="155"/>
  <c r="W57" i="155"/>
  <c r="R57" i="155"/>
  <c r="S57" i="155"/>
  <c r="F59" i="155"/>
  <c r="G59" i="155" s="1"/>
  <c r="F60" i="155"/>
  <c r="G60" i="155" s="1"/>
  <c r="H60" i="155" s="1"/>
  <c r="I60" i="155"/>
  <c r="L60" i="155"/>
  <c r="W60" i="155"/>
  <c r="F61" i="155"/>
  <c r="G61" i="155"/>
  <c r="H61" i="155"/>
  <c r="I61" i="155"/>
  <c r="I74" i="155" s="1"/>
  <c r="L61" i="155"/>
  <c r="M61" i="155"/>
  <c r="O61" i="155"/>
  <c r="W61" i="155"/>
  <c r="F62" i="155"/>
  <c r="G62" i="155" s="1"/>
  <c r="H62" i="155" s="1"/>
  <c r="I62" i="155"/>
  <c r="L62" i="155"/>
  <c r="M62" i="155"/>
  <c r="N62" i="155"/>
  <c r="W62" i="155"/>
  <c r="F63" i="155"/>
  <c r="G63" i="155" s="1"/>
  <c r="H63" i="155" s="1"/>
  <c r="M63" i="155"/>
  <c r="Y63" i="155" s="1"/>
  <c r="V63" i="155"/>
  <c r="W63" i="155"/>
  <c r="Z63" i="155"/>
  <c r="F64" i="155"/>
  <c r="G64" i="155" s="1"/>
  <c r="H64" i="155" s="1"/>
  <c r="M64" i="155"/>
  <c r="Y64" i="155" s="1"/>
  <c r="V64" i="155"/>
  <c r="W64" i="155"/>
  <c r="F65" i="155"/>
  <c r="G65" i="155" s="1"/>
  <c r="H65" i="155" s="1"/>
  <c r="I65" i="155"/>
  <c r="L65" i="155"/>
  <c r="M65" i="155"/>
  <c r="N65" i="155"/>
  <c r="O65" i="155"/>
  <c r="P65" i="155" s="1"/>
  <c r="W65" i="155"/>
  <c r="I66" i="155"/>
  <c r="V66" i="155"/>
  <c r="L66" i="155"/>
  <c r="M66" i="155" s="1"/>
  <c r="N66" i="155" s="1"/>
  <c r="T66" i="155"/>
  <c r="O66" i="155"/>
  <c r="W66" i="155"/>
  <c r="F67" i="155"/>
  <c r="G67" i="155"/>
  <c r="H67" i="155"/>
  <c r="C68" i="155"/>
  <c r="C69" i="155"/>
  <c r="F69" i="155"/>
  <c r="G69" i="155"/>
  <c r="H69" i="155"/>
  <c r="C70" i="155"/>
  <c r="F70" i="155"/>
  <c r="G70" i="155"/>
  <c r="H70" i="155" s="1"/>
  <c r="V70" i="155"/>
  <c r="W70" i="155"/>
  <c r="Y70" i="155"/>
  <c r="Z70" i="155" s="1"/>
  <c r="F71" i="155"/>
  <c r="G71" i="155" s="1"/>
  <c r="H71" i="155" s="1"/>
  <c r="C72" i="155"/>
  <c r="F72" i="155" s="1"/>
  <c r="G72" i="155" s="1"/>
  <c r="H72" i="155" s="1"/>
  <c r="F73" i="155"/>
  <c r="G73" i="155" s="1"/>
  <c r="I73" i="155"/>
  <c r="L73" i="155"/>
  <c r="M73" i="155"/>
  <c r="O73" i="155"/>
  <c r="W73" i="155"/>
  <c r="D74" i="155"/>
  <c r="E74" i="155"/>
  <c r="E85" i="155" s="1"/>
  <c r="Q74" i="155"/>
  <c r="W74" i="155" s="1"/>
  <c r="R74" i="155"/>
  <c r="S74" i="155"/>
  <c r="E76" i="155"/>
  <c r="H76" i="155"/>
  <c r="G76" i="155"/>
  <c r="I76" i="155"/>
  <c r="V76" i="155"/>
  <c r="L76" i="155"/>
  <c r="W76" i="155"/>
  <c r="I77" i="155"/>
  <c r="L77" i="155"/>
  <c r="M77" i="155"/>
  <c r="O77" i="155"/>
  <c r="W77" i="155"/>
  <c r="I78" i="155"/>
  <c r="M78" i="155"/>
  <c r="Y78" i="155"/>
  <c r="Z78" i="155" s="1"/>
  <c r="W78" i="155"/>
  <c r="M80" i="155"/>
  <c r="T80" i="155"/>
  <c r="Z80" i="155" s="1"/>
  <c r="V80" i="155"/>
  <c r="W80" i="155"/>
  <c r="G81" i="155"/>
  <c r="T81" i="155" s="1"/>
  <c r="M81" i="155"/>
  <c r="V81" i="155"/>
  <c r="W81" i="155"/>
  <c r="G82" i="155"/>
  <c r="M82" i="155"/>
  <c r="V82" i="155"/>
  <c r="W82" i="155"/>
  <c r="M83" i="155"/>
  <c r="Z83" i="155"/>
  <c r="V83" i="155"/>
  <c r="W83" i="155"/>
  <c r="I84" i="155"/>
  <c r="V84" i="155" s="1"/>
  <c r="M84" i="155"/>
  <c r="P84" i="155"/>
  <c r="T84" i="155"/>
  <c r="W84" i="155"/>
  <c r="I87" i="155"/>
  <c r="M87" i="155"/>
  <c r="I6" i="154"/>
  <c r="J6" i="154"/>
  <c r="Q6" i="154" s="1"/>
  <c r="L6" i="154"/>
  <c r="O6" i="154"/>
  <c r="I7" i="154"/>
  <c r="J7" i="154"/>
  <c r="Q7" i="154"/>
  <c r="W7" i="154" s="1"/>
  <c r="L7" i="154"/>
  <c r="O7" i="154"/>
  <c r="I8" i="154"/>
  <c r="J8" i="154"/>
  <c r="Q8" i="154"/>
  <c r="L8" i="154"/>
  <c r="O8" i="154"/>
  <c r="I9" i="154"/>
  <c r="J9" i="154"/>
  <c r="L9" i="154"/>
  <c r="O9" i="154"/>
  <c r="I10" i="154"/>
  <c r="J10" i="154"/>
  <c r="Q10" i="154" s="1"/>
  <c r="W10" i="154" s="1"/>
  <c r="L10" i="154"/>
  <c r="K10" i="154"/>
  <c r="O10" i="154"/>
  <c r="I11" i="154"/>
  <c r="V11" i="154" s="1"/>
  <c r="I12" i="154"/>
  <c r="M12" i="154"/>
  <c r="O12" i="154"/>
  <c r="W12" i="154"/>
  <c r="C13" i="154"/>
  <c r="D13" i="154"/>
  <c r="D75" i="154" s="1"/>
  <c r="F13" i="154"/>
  <c r="G13" i="154"/>
  <c r="R13" i="154"/>
  <c r="I15" i="154"/>
  <c r="J15" i="154"/>
  <c r="L15" i="154"/>
  <c r="O15" i="154"/>
  <c r="P15" i="154" s="1"/>
  <c r="V15" i="154" s="1"/>
  <c r="I16" i="154"/>
  <c r="J16" i="154"/>
  <c r="L16" i="154"/>
  <c r="O16" i="154"/>
  <c r="I17" i="154"/>
  <c r="P17" i="154" s="1"/>
  <c r="J17" i="154"/>
  <c r="L17" i="154"/>
  <c r="O17" i="154"/>
  <c r="I18" i="154"/>
  <c r="J18" i="154"/>
  <c r="L18" i="154"/>
  <c r="M18" i="154"/>
  <c r="O18" i="154"/>
  <c r="I19" i="154"/>
  <c r="K19" i="154" s="1"/>
  <c r="J19" i="154"/>
  <c r="L19" i="154"/>
  <c r="O19" i="154"/>
  <c r="I20" i="154"/>
  <c r="K20" i="154"/>
  <c r="J20" i="154"/>
  <c r="Q20" i="154" s="1"/>
  <c r="L20" i="154"/>
  <c r="O20" i="154"/>
  <c r="I21" i="154"/>
  <c r="J21" i="154"/>
  <c r="L21" i="154"/>
  <c r="O21" i="154"/>
  <c r="P21" i="154" s="1"/>
  <c r="I22" i="154"/>
  <c r="J22" i="154"/>
  <c r="Q22" i="154" s="1"/>
  <c r="L22" i="154"/>
  <c r="O22" i="154"/>
  <c r="I23" i="154"/>
  <c r="J23" i="154"/>
  <c r="L23" i="154"/>
  <c r="O23" i="154"/>
  <c r="P23" i="154" s="1"/>
  <c r="V23" i="154" s="1"/>
  <c r="I24" i="154"/>
  <c r="J24" i="154"/>
  <c r="L24" i="154"/>
  <c r="O24" i="154"/>
  <c r="I25" i="154"/>
  <c r="L25" i="154"/>
  <c r="O25" i="154"/>
  <c r="Q25" i="154"/>
  <c r="W25" i="154" s="1"/>
  <c r="I26" i="154"/>
  <c r="L26" i="154"/>
  <c r="O26" i="154"/>
  <c r="Q26" i="154"/>
  <c r="W26" i="154"/>
  <c r="M27" i="154"/>
  <c r="V27" i="154"/>
  <c r="W27" i="154"/>
  <c r="Y27" i="154"/>
  <c r="I28" i="154"/>
  <c r="L28" i="154"/>
  <c r="M28" i="154"/>
  <c r="N28" i="154"/>
  <c r="O28" i="154"/>
  <c r="W28" i="154"/>
  <c r="M29" i="154"/>
  <c r="P29" i="154"/>
  <c r="V29" i="154"/>
  <c r="W29" i="154"/>
  <c r="Y29" i="154"/>
  <c r="Z29" i="154" s="1"/>
  <c r="I30" i="154"/>
  <c r="J30" i="154"/>
  <c r="W30" i="154" s="1"/>
  <c r="L30" i="154"/>
  <c r="O30" i="154"/>
  <c r="M31" i="154"/>
  <c r="V31" i="154"/>
  <c r="W31" i="154"/>
  <c r="Y31" i="154"/>
  <c r="I32" i="154"/>
  <c r="P32" i="154" s="1"/>
  <c r="J32" i="154"/>
  <c r="L32" i="154"/>
  <c r="O32" i="154"/>
  <c r="I33" i="154"/>
  <c r="V33" i="154"/>
  <c r="M33" i="154"/>
  <c r="T33" i="154"/>
  <c r="U33" i="154"/>
  <c r="W33" i="154"/>
  <c r="C34" i="154"/>
  <c r="D34" i="154"/>
  <c r="F34" i="154"/>
  <c r="G34" i="154"/>
  <c r="R34" i="154"/>
  <c r="I36" i="154"/>
  <c r="V36" i="154" s="1"/>
  <c r="J36" i="154"/>
  <c r="M36" i="154" s="1"/>
  <c r="W36" i="154"/>
  <c r="L36" i="154"/>
  <c r="I38" i="154"/>
  <c r="L38" i="154"/>
  <c r="M38" i="154" s="1"/>
  <c r="N38" i="154"/>
  <c r="O38" i="154"/>
  <c r="W38" i="154"/>
  <c r="I39" i="154"/>
  <c r="L39" i="154"/>
  <c r="O39" i="154"/>
  <c r="W39" i="154"/>
  <c r="I40" i="154"/>
  <c r="L40" i="154"/>
  <c r="M40" i="154" s="1"/>
  <c r="O40" i="154"/>
  <c r="W40" i="154"/>
  <c r="I41" i="154"/>
  <c r="L41" i="154"/>
  <c r="M41" i="154"/>
  <c r="N41" i="154" s="1"/>
  <c r="O41" i="154"/>
  <c r="P41" i="154" s="1"/>
  <c r="T41" i="154" s="1"/>
  <c r="W41" i="154"/>
  <c r="I42" i="154"/>
  <c r="L42" i="154"/>
  <c r="M42" i="154"/>
  <c r="O42" i="154"/>
  <c r="W42" i="154"/>
  <c r="I43" i="154"/>
  <c r="L43" i="154"/>
  <c r="O43" i="154"/>
  <c r="W43" i="154"/>
  <c r="I44" i="154"/>
  <c r="L44" i="154"/>
  <c r="O44" i="154"/>
  <c r="W44" i="154"/>
  <c r="I45" i="154"/>
  <c r="L45" i="154"/>
  <c r="O45" i="154"/>
  <c r="W45" i="154"/>
  <c r="I46" i="154"/>
  <c r="L46" i="154"/>
  <c r="O46" i="154"/>
  <c r="P46" i="154"/>
  <c r="W46" i="154"/>
  <c r="I47" i="154"/>
  <c r="L47" i="154"/>
  <c r="M47" i="154"/>
  <c r="O47" i="154"/>
  <c r="W47" i="154"/>
  <c r="I48" i="154"/>
  <c r="L48" i="154"/>
  <c r="O48" i="154"/>
  <c r="W48" i="154"/>
  <c r="I49" i="154"/>
  <c r="L49" i="154"/>
  <c r="O49" i="154"/>
  <c r="W49" i="154"/>
  <c r="C50" i="154"/>
  <c r="D50" i="154"/>
  <c r="F50" i="154"/>
  <c r="F75" i="154" s="1"/>
  <c r="G50" i="154"/>
  <c r="Q50" i="154"/>
  <c r="W50" i="154"/>
  <c r="R50" i="154"/>
  <c r="S50" i="154"/>
  <c r="I52" i="154"/>
  <c r="L52" i="154"/>
  <c r="O52" i="154"/>
  <c r="O54" i="154" s="1"/>
  <c r="W52" i="154"/>
  <c r="I53" i="154"/>
  <c r="O53" i="154"/>
  <c r="W53" i="154"/>
  <c r="Z53" i="154"/>
  <c r="C54" i="154"/>
  <c r="C75" i="154" s="1"/>
  <c r="D54" i="154"/>
  <c r="Q54" i="154"/>
  <c r="W54" i="154" s="1"/>
  <c r="R54" i="154"/>
  <c r="S54" i="154"/>
  <c r="I56" i="154"/>
  <c r="L56" i="154"/>
  <c r="W56" i="154"/>
  <c r="I57" i="154"/>
  <c r="L57" i="154"/>
  <c r="M57" i="154" s="1"/>
  <c r="O57" i="154"/>
  <c r="W57" i="154"/>
  <c r="I58" i="154"/>
  <c r="L58" i="154"/>
  <c r="M58" i="154"/>
  <c r="W58" i="154"/>
  <c r="M59" i="154"/>
  <c r="Y59" i="154" s="1"/>
  <c r="Z59" i="154" s="1"/>
  <c r="V59" i="154"/>
  <c r="W59" i="154"/>
  <c r="M60" i="154"/>
  <c r="Y60" i="154"/>
  <c r="Z60" i="154" s="1"/>
  <c r="V60" i="154"/>
  <c r="W60" i="154"/>
  <c r="I61" i="154"/>
  <c r="L61" i="154"/>
  <c r="M61" i="154" s="1"/>
  <c r="O61" i="154"/>
  <c r="W61" i="154"/>
  <c r="I62" i="154"/>
  <c r="L62" i="154"/>
  <c r="O62" i="154"/>
  <c r="W62" i="154"/>
  <c r="V63" i="154"/>
  <c r="W63" i="154"/>
  <c r="Y63" i="154"/>
  <c r="Z63" i="154" s="1"/>
  <c r="I64" i="154"/>
  <c r="L64" i="154"/>
  <c r="M64" i="154" s="1"/>
  <c r="O64" i="154"/>
  <c r="W64" i="154"/>
  <c r="C65" i="154"/>
  <c r="F65" i="154"/>
  <c r="G65" i="154"/>
  <c r="G75" i="154" s="1"/>
  <c r="Q65" i="154"/>
  <c r="W65" i="154" s="1"/>
  <c r="R65" i="154"/>
  <c r="S65" i="154"/>
  <c r="I66" i="154"/>
  <c r="V66" i="154"/>
  <c r="L66" i="154"/>
  <c r="W66" i="154"/>
  <c r="I67" i="154"/>
  <c r="L67" i="154"/>
  <c r="M67" i="154" s="1"/>
  <c r="O67" i="154"/>
  <c r="W67" i="154"/>
  <c r="I68" i="154"/>
  <c r="V68" i="154"/>
  <c r="M68" i="154"/>
  <c r="Y68" i="154"/>
  <c r="Z68" i="154" s="1"/>
  <c r="AA68" i="154" s="1"/>
  <c r="W68" i="154"/>
  <c r="M70" i="154"/>
  <c r="T70" i="154"/>
  <c r="V70" i="154"/>
  <c r="W70" i="154"/>
  <c r="M71" i="154"/>
  <c r="V71" i="154"/>
  <c r="W71" i="154"/>
  <c r="M72" i="154"/>
  <c r="V72" i="154"/>
  <c r="W72" i="154"/>
  <c r="M73" i="154"/>
  <c r="Z73" i="154"/>
  <c r="V73" i="154"/>
  <c r="W73" i="154"/>
  <c r="I74" i="154"/>
  <c r="V74" i="154"/>
  <c r="M74" i="154"/>
  <c r="P74" i="154"/>
  <c r="T74" i="154"/>
  <c r="W74" i="154"/>
  <c r="E75" i="154"/>
  <c r="C8" i="151"/>
  <c r="E8" i="151" s="1"/>
  <c r="F8" i="151"/>
  <c r="G8" i="151"/>
  <c r="L8" i="151" s="1"/>
  <c r="N8" i="151" s="1"/>
  <c r="O8" i="151" s="1"/>
  <c r="H8" i="151"/>
  <c r="M8" i="151"/>
  <c r="I8" i="151"/>
  <c r="K8" i="151" s="1"/>
  <c r="J8" i="151"/>
  <c r="E9" i="151"/>
  <c r="F9" i="151"/>
  <c r="G9" i="151"/>
  <c r="L9" i="151" s="1"/>
  <c r="H9" i="151"/>
  <c r="I9" i="151"/>
  <c r="J9" i="151"/>
  <c r="C10" i="151"/>
  <c r="F10" i="151"/>
  <c r="G10" i="151"/>
  <c r="L10" i="151" s="1"/>
  <c r="H10" i="151"/>
  <c r="I10" i="151"/>
  <c r="J10" i="151"/>
  <c r="E11" i="151"/>
  <c r="F11" i="151"/>
  <c r="G11" i="151"/>
  <c r="H11" i="151"/>
  <c r="I11" i="151"/>
  <c r="J11" i="151"/>
  <c r="E12" i="151"/>
  <c r="G12" i="151"/>
  <c r="H12" i="151"/>
  <c r="M12" i="151" s="1"/>
  <c r="E13" i="151"/>
  <c r="F13" i="151"/>
  <c r="G13" i="151"/>
  <c r="L13" i="151"/>
  <c r="H13" i="151"/>
  <c r="I13" i="151"/>
  <c r="M13" i="151" s="1"/>
  <c r="J13" i="151"/>
  <c r="C14" i="151"/>
  <c r="E14" i="151"/>
  <c r="L14" i="151"/>
  <c r="M14" i="151"/>
  <c r="E15" i="151"/>
  <c r="F15" i="151"/>
  <c r="G15" i="151"/>
  <c r="L15" i="151" s="1"/>
  <c r="H15" i="151"/>
  <c r="I15" i="151"/>
  <c r="J15" i="151"/>
  <c r="E16" i="151"/>
  <c r="F16" i="151"/>
  <c r="G16" i="151"/>
  <c r="L16" i="151"/>
  <c r="H16" i="151"/>
  <c r="I16" i="151"/>
  <c r="J16" i="151"/>
  <c r="E17" i="151"/>
  <c r="F17" i="151"/>
  <c r="G17" i="151"/>
  <c r="L17" i="151"/>
  <c r="H17" i="151"/>
  <c r="I17" i="151"/>
  <c r="J17" i="151"/>
  <c r="E18" i="151"/>
  <c r="F18" i="151"/>
  <c r="G18" i="151"/>
  <c r="L18" i="151" s="1"/>
  <c r="N18" i="151" s="1"/>
  <c r="O18" i="151" s="1"/>
  <c r="H18" i="151"/>
  <c r="I18" i="151"/>
  <c r="J18" i="151"/>
  <c r="A19" i="151"/>
  <c r="E19" i="151"/>
  <c r="K19" i="151"/>
  <c r="L19" i="151"/>
  <c r="N19" i="151" s="1"/>
  <c r="M19" i="151"/>
  <c r="E20" i="151"/>
  <c r="F20" i="151"/>
  <c r="G20" i="151"/>
  <c r="L20" i="151"/>
  <c r="H20" i="151"/>
  <c r="M20" i="151" s="1"/>
  <c r="I20" i="151"/>
  <c r="J20" i="151"/>
  <c r="E21" i="151"/>
  <c r="F21" i="151"/>
  <c r="N21" i="151"/>
  <c r="E22" i="151"/>
  <c r="F22" i="151"/>
  <c r="G22" i="151"/>
  <c r="L22" i="151" s="1"/>
  <c r="H22" i="151"/>
  <c r="I22" i="151"/>
  <c r="J22" i="151"/>
  <c r="E23" i="151"/>
  <c r="F23" i="151"/>
  <c r="G23" i="151"/>
  <c r="H23" i="151"/>
  <c r="M23" i="151" s="1"/>
  <c r="I23" i="151"/>
  <c r="J23" i="151"/>
  <c r="E26" i="151"/>
  <c r="F26" i="151"/>
  <c r="G26" i="151"/>
  <c r="H26" i="151"/>
  <c r="M26" i="151"/>
  <c r="E27" i="151"/>
  <c r="E33" i="151" s="1"/>
  <c r="F27" i="151"/>
  <c r="G27" i="151"/>
  <c r="H27" i="151"/>
  <c r="M27" i="151" s="1"/>
  <c r="E28" i="151"/>
  <c r="F28" i="151"/>
  <c r="G28" i="151"/>
  <c r="H28" i="151"/>
  <c r="M28" i="151" s="1"/>
  <c r="M33" i="151" s="1"/>
  <c r="E29" i="151"/>
  <c r="F29" i="151"/>
  <c r="G29" i="151"/>
  <c r="H29" i="151"/>
  <c r="M29" i="151" s="1"/>
  <c r="E30" i="151"/>
  <c r="F30" i="151"/>
  <c r="G30" i="151"/>
  <c r="L30" i="151" s="1"/>
  <c r="H30" i="151"/>
  <c r="F31" i="151"/>
  <c r="L31" i="151"/>
  <c r="N31" i="151"/>
  <c r="E32" i="151"/>
  <c r="F32" i="151"/>
  <c r="K32" i="151"/>
  <c r="N32" i="151" s="1"/>
  <c r="O32" i="151" s="1"/>
  <c r="C33" i="151"/>
  <c r="I33" i="151"/>
  <c r="J33" i="151"/>
  <c r="N36" i="151"/>
  <c r="C37" i="151"/>
  <c r="E37" i="151"/>
  <c r="F37" i="151"/>
  <c r="G37" i="151"/>
  <c r="H37" i="151"/>
  <c r="I37" i="151"/>
  <c r="J37" i="151"/>
  <c r="K37" i="151"/>
  <c r="L37" i="151"/>
  <c r="M37" i="151"/>
  <c r="E40" i="151"/>
  <c r="E64" i="151" s="1"/>
  <c r="F40" i="151"/>
  <c r="G40" i="151"/>
  <c r="K40" i="151" s="1"/>
  <c r="N40" i="151" s="1"/>
  <c r="H40" i="151"/>
  <c r="M40" i="151"/>
  <c r="E41" i="151"/>
  <c r="F41" i="151"/>
  <c r="G41" i="151"/>
  <c r="H41" i="151"/>
  <c r="M41" i="151"/>
  <c r="E42" i="151"/>
  <c r="F42" i="151"/>
  <c r="G42" i="151"/>
  <c r="L42" i="151"/>
  <c r="H42" i="151"/>
  <c r="M42" i="151" s="1"/>
  <c r="E43" i="151"/>
  <c r="F43" i="151"/>
  <c r="G43" i="151"/>
  <c r="H43" i="151"/>
  <c r="M43" i="151"/>
  <c r="E44" i="151"/>
  <c r="F44" i="151"/>
  <c r="G44" i="151"/>
  <c r="L44" i="151" s="1"/>
  <c r="H44" i="151"/>
  <c r="E45" i="151"/>
  <c r="F45" i="151"/>
  <c r="G45" i="151"/>
  <c r="H45" i="151"/>
  <c r="E46" i="151"/>
  <c r="F46" i="151"/>
  <c r="G46" i="151"/>
  <c r="H46" i="151"/>
  <c r="M46" i="151" s="1"/>
  <c r="E47" i="151"/>
  <c r="F47" i="151"/>
  <c r="G47" i="151"/>
  <c r="H47" i="151"/>
  <c r="M47" i="151" s="1"/>
  <c r="E48" i="151"/>
  <c r="K48" i="151"/>
  <c r="N48" i="151" s="1"/>
  <c r="E49" i="151"/>
  <c r="F49" i="151"/>
  <c r="H49" i="151"/>
  <c r="K49" i="151" s="1"/>
  <c r="M49" i="151" s="1"/>
  <c r="E50" i="151"/>
  <c r="F50" i="151"/>
  <c r="H50" i="151"/>
  <c r="K50" i="151"/>
  <c r="M50" i="151"/>
  <c r="K51" i="151"/>
  <c r="N51" i="151"/>
  <c r="C52" i="151"/>
  <c r="E52" i="151" s="1"/>
  <c r="F52" i="151"/>
  <c r="G52" i="151"/>
  <c r="H52" i="151"/>
  <c r="M52" i="151"/>
  <c r="K53" i="151"/>
  <c r="N53" i="151" s="1"/>
  <c r="E54" i="151"/>
  <c r="F54" i="151"/>
  <c r="G54" i="151"/>
  <c r="H54" i="151"/>
  <c r="K55" i="151"/>
  <c r="N55" i="151"/>
  <c r="K56" i="151"/>
  <c r="N56" i="151" s="1"/>
  <c r="K57" i="151"/>
  <c r="N57" i="151" s="1"/>
  <c r="C58" i="151"/>
  <c r="E58" i="151" s="1"/>
  <c r="F58" i="151"/>
  <c r="H58" i="151"/>
  <c r="K58" i="151"/>
  <c r="N58" i="151"/>
  <c r="O58" i="151" s="1"/>
  <c r="K59" i="151"/>
  <c r="N59" i="151" s="1"/>
  <c r="E60" i="151"/>
  <c r="F60" i="151"/>
  <c r="H60" i="151"/>
  <c r="K60" i="151"/>
  <c r="E61" i="151"/>
  <c r="F61" i="151"/>
  <c r="H61" i="151"/>
  <c r="K61" i="151" s="1"/>
  <c r="N61" i="151" s="1"/>
  <c r="O61" i="151" s="1"/>
  <c r="E62" i="151"/>
  <c r="F62" i="151"/>
  <c r="G62" i="151"/>
  <c r="H62" i="151"/>
  <c r="E63" i="151"/>
  <c r="F63" i="151"/>
  <c r="G63" i="151"/>
  <c r="K63" i="151" s="1"/>
  <c r="H63" i="151"/>
  <c r="N63" i="151"/>
  <c r="I64" i="151"/>
  <c r="J64" i="151"/>
  <c r="E66" i="151"/>
  <c r="E71" i="151" s="1"/>
  <c r="F66" i="151"/>
  <c r="F71" i="151" s="1"/>
  <c r="G66" i="151"/>
  <c r="H66" i="151"/>
  <c r="K66" i="151"/>
  <c r="N67" i="151"/>
  <c r="F68" i="151"/>
  <c r="O68" i="151" s="1"/>
  <c r="K68" i="151"/>
  <c r="L68" i="151"/>
  <c r="M68" i="151"/>
  <c r="F69" i="151"/>
  <c r="O69" i="151" s="1"/>
  <c r="K69" i="151"/>
  <c r="L69" i="151"/>
  <c r="L71" i="151" s="1"/>
  <c r="M69" i="151"/>
  <c r="K70" i="151"/>
  <c r="C71" i="151"/>
  <c r="N72" i="151"/>
  <c r="C73" i="151"/>
  <c r="E73" i="151"/>
  <c r="F73" i="151"/>
  <c r="K73" i="151"/>
  <c r="M73" i="151" s="1"/>
  <c r="E74" i="151"/>
  <c r="F74" i="151"/>
  <c r="K74" i="151"/>
  <c r="M74" i="151"/>
  <c r="N74" i="151"/>
  <c r="O74" i="151" s="1"/>
  <c r="F75" i="151"/>
  <c r="K75" i="151"/>
  <c r="M75" i="151" s="1"/>
  <c r="N75" i="151" s="1"/>
  <c r="O75" i="151" s="1"/>
  <c r="C76" i="151"/>
  <c r="F76" i="151"/>
  <c r="O76" i="151"/>
  <c r="K76" i="151"/>
  <c r="M76" i="151" s="1"/>
  <c r="N76" i="151" s="1"/>
  <c r="F77" i="151"/>
  <c r="K77" i="151"/>
  <c r="M77" i="151"/>
  <c r="N77" i="151"/>
  <c r="O77" i="151"/>
  <c r="F78" i="151"/>
  <c r="K78" i="151"/>
  <c r="M78" i="151" s="1"/>
  <c r="N78" i="151" s="1"/>
  <c r="O78" i="151" s="1"/>
  <c r="F79" i="151"/>
  <c r="K79" i="151"/>
  <c r="M79" i="151" s="1"/>
  <c r="N79" i="151" s="1"/>
  <c r="O79" i="151" s="1"/>
  <c r="E80" i="151"/>
  <c r="F80" i="151"/>
  <c r="K80" i="151"/>
  <c r="M80" i="151"/>
  <c r="N80" i="151"/>
  <c r="O80" i="151" s="1"/>
  <c r="F81" i="151"/>
  <c r="K81" i="151"/>
  <c r="M81" i="151" s="1"/>
  <c r="N81" i="151" s="1"/>
  <c r="O81" i="151" s="1"/>
  <c r="F82" i="151"/>
  <c r="M82" i="151"/>
  <c r="F83" i="151"/>
  <c r="D146" i="151"/>
  <c r="K83" i="151"/>
  <c r="M83" i="151" s="1"/>
  <c r="N83" i="151" s="1"/>
  <c r="E146" i="151" s="1"/>
  <c r="F84" i="151"/>
  <c r="K84" i="151"/>
  <c r="N86" i="151"/>
  <c r="N87" i="151"/>
  <c r="N88" i="151"/>
  <c r="N89" i="151"/>
  <c r="N90" i="151"/>
  <c r="N91" i="151"/>
  <c r="N92" i="151"/>
  <c r="N93" i="151"/>
  <c r="N94" i="151"/>
  <c r="E95" i="151"/>
  <c r="F95" i="151"/>
  <c r="K95" i="151"/>
  <c r="N95" i="151"/>
  <c r="F96" i="151"/>
  <c r="K96" i="151"/>
  <c r="N96" i="151"/>
  <c r="N99" i="151"/>
  <c r="N119" i="151"/>
  <c r="N100" i="151"/>
  <c r="F101" i="151"/>
  <c r="D144" i="151"/>
  <c r="K101" i="151"/>
  <c r="M101" i="151"/>
  <c r="M102" i="151"/>
  <c r="N102" i="151"/>
  <c r="F103" i="151"/>
  <c r="K103" i="151"/>
  <c r="M103" i="151"/>
  <c r="N103" i="151"/>
  <c r="F104" i="151"/>
  <c r="G105" i="151"/>
  <c r="H105" i="151"/>
  <c r="I105" i="151"/>
  <c r="J105" i="151"/>
  <c r="L105" i="151"/>
  <c r="F106" i="151"/>
  <c r="K106" i="151"/>
  <c r="N106" i="151" s="1"/>
  <c r="K107" i="151"/>
  <c r="N107" i="151"/>
  <c r="K108" i="151"/>
  <c r="N108" i="151"/>
  <c r="F109" i="151"/>
  <c r="D148" i="151" s="1"/>
  <c r="K109" i="151"/>
  <c r="N109" i="151" s="1"/>
  <c r="F110" i="151"/>
  <c r="K110" i="151"/>
  <c r="N110" i="151"/>
  <c r="F111" i="151"/>
  <c r="K111" i="151"/>
  <c r="N111" i="151" s="1"/>
  <c r="K112" i="151"/>
  <c r="N112" i="151" s="1"/>
  <c r="N113" i="151"/>
  <c r="N114" i="151"/>
  <c r="N115" i="151"/>
  <c r="G119" i="151"/>
  <c r="J119" i="151"/>
  <c r="G7" i="89"/>
  <c r="G10" i="89"/>
  <c r="G12" i="89" s="1"/>
  <c r="G14" i="89" s="1"/>
  <c r="K7" i="89"/>
  <c r="K10" i="89"/>
  <c r="K12" i="89"/>
  <c r="K14" i="89" s="1"/>
  <c r="N7" i="89"/>
  <c r="O7" i="89"/>
  <c r="H8" i="89"/>
  <c r="L8" i="89"/>
  <c r="M8" i="89"/>
  <c r="N8" i="89"/>
  <c r="N10" i="89"/>
  <c r="N12" i="89" s="1"/>
  <c r="N14" i="89" s="1"/>
  <c r="N15" i="89" s="1"/>
  <c r="C49" i="60" s="1"/>
  <c r="C36" i="63" s="1"/>
  <c r="H9" i="89"/>
  <c r="K9" i="89"/>
  <c r="L9" i="89"/>
  <c r="M9" i="89"/>
  <c r="N9" i="89"/>
  <c r="K12" i="142" s="1"/>
  <c r="F10" i="89"/>
  <c r="F12" i="89"/>
  <c r="F14" i="89"/>
  <c r="J12" i="89"/>
  <c r="J14" i="89" s="1"/>
  <c r="J15" i="89" s="1"/>
  <c r="K17" i="89"/>
  <c r="C11" i="143"/>
  <c r="D11" i="143"/>
  <c r="E11" i="143"/>
  <c r="E16" i="143" s="1"/>
  <c r="C13" i="143"/>
  <c r="C16" i="143"/>
  <c r="D13" i="143"/>
  <c r="C14" i="143"/>
  <c r="D14" i="143"/>
  <c r="E14" i="143"/>
  <c r="E28" i="143"/>
  <c r="E32" i="143" s="1"/>
  <c r="C18" i="143"/>
  <c r="C23" i="143" s="1"/>
  <c r="C28" i="143" s="1"/>
  <c r="D18" i="143"/>
  <c r="D23" i="143" s="1"/>
  <c r="E18" i="143"/>
  <c r="E23" i="143" s="1"/>
  <c r="C25" i="143"/>
  <c r="C27" i="143"/>
  <c r="D25" i="143"/>
  <c r="D27" i="143" s="1"/>
  <c r="G25" i="143"/>
  <c r="G27" i="143" s="1"/>
  <c r="E27" i="143"/>
  <c r="C29" i="143"/>
  <c r="D29" i="143"/>
  <c r="E29" i="143"/>
  <c r="C30" i="143"/>
  <c r="D30" i="143"/>
  <c r="E30" i="143"/>
  <c r="F30" i="143"/>
  <c r="G30" i="143"/>
  <c r="H30" i="143"/>
  <c r="I30" i="143"/>
  <c r="C35" i="143"/>
  <c r="D35" i="143"/>
  <c r="E35" i="143"/>
  <c r="E39" i="143" s="1"/>
  <c r="C36" i="143"/>
  <c r="D36" i="143"/>
  <c r="E36" i="143"/>
  <c r="F36" i="143"/>
  <c r="C37" i="143"/>
  <c r="D37" i="143"/>
  <c r="C38" i="143"/>
  <c r="D38" i="143"/>
  <c r="D39" i="143" s="1"/>
  <c r="D45" i="143" s="1"/>
  <c r="E38" i="143"/>
  <c r="C41" i="143"/>
  <c r="C44" i="143"/>
  <c r="D41" i="143"/>
  <c r="C42" i="143"/>
  <c r="D42" i="143"/>
  <c r="D44" i="143" s="1"/>
  <c r="E42" i="143"/>
  <c r="F42" i="143"/>
  <c r="C43" i="143"/>
  <c r="D43" i="143"/>
  <c r="C53" i="143"/>
  <c r="C54" i="143" s="1"/>
  <c r="D53" i="143"/>
  <c r="D54" i="143"/>
  <c r="C59" i="143"/>
  <c r="C61" i="143" s="1"/>
  <c r="D59" i="143"/>
  <c r="D61" i="143" s="1"/>
  <c r="E61" i="143"/>
  <c r="F61" i="143"/>
  <c r="G61" i="143"/>
  <c r="H61" i="143"/>
  <c r="I61" i="143"/>
  <c r="C66" i="143"/>
  <c r="D66" i="143"/>
  <c r="D70" i="143" s="1"/>
  <c r="C67" i="143"/>
  <c r="D67" i="143"/>
  <c r="E70" i="143"/>
  <c r="F70" i="143"/>
  <c r="G70" i="143"/>
  <c r="H70" i="143"/>
  <c r="I70" i="143"/>
  <c r="C71" i="143"/>
  <c r="D71" i="143"/>
  <c r="E73" i="143"/>
  <c r="G73" i="143"/>
  <c r="C75" i="143"/>
  <c r="D76" i="143"/>
  <c r="E77" i="143"/>
  <c r="E11" i="142"/>
  <c r="E13" i="142"/>
  <c r="F11" i="142"/>
  <c r="G11" i="142"/>
  <c r="G13" i="142" s="1"/>
  <c r="H11" i="142"/>
  <c r="D12" i="142"/>
  <c r="D13" i="142" s="1"/>
  <c r="F12" i="142"/>
  <c r="F13" i="142" s="1"/>
  <c r="G12" i="142"/>
  <c r="H12" i="142"/>
  <c r="C13" i="142"/>
  <c r="C21" i="142" s="1"/>
  <c r="C15" i="142"/>
  <c r="E15" i="142"/>
  <c r="E19" i="142"/>
  <c r="F15" i="142"/>
  <c r="G15" i="142"/>
  <c r="C16" i="142"/>
  <c r="D16" i="142"/>
  <c r="D19" i="142" s="1"/>
  <c r="E16" i="142"/>
  <c r="F16" i="142"/>
  <c r="F19" i="142" s="1"/>
  <c r="F21" i="142" s="1"/>
  <c r="G16" i="142"/>
  <c r="D17" i="142"/>
  <c r="F17" i="142"/>
  <c r="G17" i="142"/>
  <c r="E18" i="142"/>
  <c r="F18" i="142"/>
  <c r="G18" i="142"/>
  <c r="G19" i="142" s="1"/>
  <c r="G21" i="142" s="1"/>
  <c r="H19" i="142"/>
  <c r="D20" i="142"/>
  <c r="C20" i="142"/>
  <c r="E20" i="142"/>
  <c r="G20" i="142"/>
  <c r="I20" i="142"/>
  <c r="K20" i="142"/>
  <c r="C26" i="142"/>
  <c r="D26" i="142"/>
  <c r="D28" i="142" s="1"/>
  <c r="D33" i="142" s="1"/>
  <c r="E26" i="142"/>
  <c r="F26" i="142"/>
  <c r="G26" i="142"/>
  <c r="H26" i="142"/>
  <c r="C27" i="142"/>
  <c r="C28" i="142" s="1"/>
  <c r="C33" i="142" s="1"/>
  <c r="D27" i="142"/>
  <c r="E27" i="142"/>
  <c r="F27" i="142"/>
  <c r="G27" i="142"/>
  <c r="H27" i="142"/>
  <c r="K27" i="142"/>
  <c r="C29" i="142"/>
  <c r="D29" i="142"/>
  <c r="E29" i="142"/>
  <c r="F29" i="142"/>
  <c r="G29" i="142"/>
  <c r="H29" i="142"/>
  <c r="J29" i="142"/>
  <c r="K29" i="142"/>
  <c r="J31" i="142"/>
  <c r="K31" i="142"/>
  <c r="K32" i="142"/>
  <c r="K26" i="142" s="1"/>
  <c r="K28" i="142" s="1"/>
  <c r="F35" i="142"/>
  <c r="G35" i="142"/>
  <c r="H35" i="142" s="1"/>
  <c r="I35" i="142" s="1"/>
  <c r="J35" i="142" s="1"/>
  <c r="K35" i="142" s="1"/>
  <c r="L35" i="142" s="1"/>
  <c r="N35" i="142"/>
  <c r="O35" i="142"/>
  <c r="C37" i="142"/>
  <c r="E37" i="142"/>
  <c r="F37" i="142"/>
  <c r="G37" i="142" s="1"/>
  <c r="H37" i="142" s="1"/>
  <c r="I37" i="142" s="1"/>
  <c r="K37" i="142"/>
  <c r="L37" i="142"/>
  <c r="M37" i="142"/>
  <c r="N37" i="142"/>
  <c r="D41" i="142"/>
  <c r="D46" i="142"/>
  <c r="I41" i="142"/>
  <c r="I46" i="142"/>
  <c r="J41" i="142"/>
  <c r="G35" i="143"/>
  <c r="G36" i="143"/>
  <c r="E44" i="142"/>
  <c r="F44" i="142"/>
  <c r="F46" i="142"/>
  <c r="H44" i="142"/>
  <c r="E37" i="143" s="1"/>
  <c r="H46" i="142"/>
  <c r="H55" i="142" s="1"/>
  <c r="I44" i="142"/>
  <c r="J44" i="142"/>
  <c r="K44" i="142"/>
  <c r="E45" i="142"/>
  <c r="J45" i="142"/>
  <c r="C46" i="142"/>
  <c r="G46" i="142"/>
  <c r="E48" i="142"/>
  <c r="E54" i="142" s="1"/>
  <c r="G49" i="142"/>
  <c r="G54" i="142"/>
  <c r="H49" i="142"/>
  <c r="K49" i="142"/>
  <c r="F50" i="142"/>
  <c r="F54" i="142"/>
  <c r="I50" i="142"/>
  <c r="J50" i="142"/>
  <c r="K50" i="142"/>
  <c r="G42" i="143"/>
  <c r="D52" i="142"/>
  <c r="D54" i="142"/>
  <c r="F52" i="142"/>
  <c r="H52" i="142"/>
  <c r="I52" i="142"/>
  <c r="J52" i="142"/>
  <c r="N52" i="142"/>
  <c r="K53" i="142"/>
  <c r="C54" i="142"/>
  <c r="C11" i="60"/>
  <c r="C8" i="63" s="1"/>
  <c r="C12" i="60"/>
  <c r="C9" i="63" s="1"/>
  <c r="F35" i="60"/>
  <c r="F29" i="63" s="1"/>
  <c r="C39" i="60"/>
  <c r="C40" i="63"/>
  <c r="C41" i="60"/>
  <c r="C31" i="63" s="1"/>
  <c r="D41" i="60"/>
  <c r="D31" i="63" s="1"/>
  <c r="E41" i="60"/>
  <c r="E31" i="63" s="1"/>
  <c r="F41" i="60"/>
  <c r="F31" i="63"/>
  <c r="C16" i="63"/>
  <c r="C26" i="63"/>
  <c r="D26" i="63"/>
  <c r="E26" i="63"/>
  <c r="F26" i="63"/>
  <c r="C32" i="63"/>
  <c r="D32" i="63"/>
  <c r="F32" i="63"/>
  <c r="C34" i="63"/>
  <c r="D34" i="63"/>
  <c r="E34" i="63"/>
  <c r="F34" i="63"/>
  <c r="D40" i="63"/>
  <c r="F40" i="63"/>
  <c r="O72" i="63"/>
  <c r="AI15" i="25"/>
  <c r="AK15" i="25"/>
  <c r="AN15" i="25" s="1"/>
  <c r="AO15" i="25" s="1"/>
  <c r="AQ15" i="25" s="1"/>
  <c r="AT15" i="25"/>
  <c r="AU15" i="25" s="1"/>
  <c r="AW15" i="25" s="1"/>
  <c r="AZ15" i="25"/>
  <c r="AI14" i="25"/>
  <c r="AK14" i="25" s="1"/>
  <c r="AN14" i="25" s="1"/>
  <c r="AO14" i="25" s="1"/>
  <c r="AQ14" i="25" s="1"/>
  <c r="AT14" i="25" s="1"/>
  <c r="AU14" i="25" s="1"/>
  <c r="AW14" i="25"/>
  <c r="AZ14" i="25" s="1"/>
  <c r="G71" i="151"/>
  <c r="F25" i="143"/>
  <c r="F27" i="143"/>
  <c r="AO21" i="156"/>
  <c r="G20" i="155"/>
  <c r="H20" i="155"/>
  <c r="R100" i="25"/>
  <c r="P18" i="155"/>
  <c r="S18" i="155" s="1"/>
  <c r="G17" i="155"/>
  <c r="H17" i="155" s="1"/>
  <c r="AC30" i="156"/>
  <c r="P73" i="155"/>
  <c r="E28" i="142"/>
  <c r="E33" i="142" s="1"/>
  <c r="M8" i="157"/>
  <c r="N8" i="157"/>
  <c r="N14" i="151"/>
  <c r="P8" i="154"/>
  <c r="P18" i="157"/>
  <c r="P26" i="155"/>
  <c r="V26" i="155"/>
  <c r="L100" i="25"/>
  <c r="P25" i="157"/>
  <c r="AC25" i="157" s="1"/>
  <c r="G34" i="152"/>
  <c r="V81" i="156"/>
  <c r="P18" i="156"/>
  <c r="S18" i="156" s="1"/>
  <c r="G30" i="152"/>
  <c r="K27" i="152"/>
  <c r="N27" i="152"/>
  <c r="O27" i="152" s="1"/>
  <c r="R27" i="152" s="1"/>
  <c r="S27" i="152"/>
  <c r="V27" i="152"/>
  <c r="W27" i="152" s="1"/>
  <c r="Z27" i="152" s="1"/>
  <c r="AA27" i="152" s="1"/>
  <c r="K25" i="152"/>
  <c r="N25" i="152" s="1"/>
  <c r="O25" i="152" s="1"/>
  <c r="E17" i="142"/>
  <c r="Z70" i="154"/>
  <c r="F10" i="155"/>
  <c r="G10" i="155" s="1"/>
  <c r="H10" i="155" s="1"/>
  <c r="K9" i="155"/>
  <c r="P28" i="156"/>
  <c r="P26" i="156"/>
  <c r="R82" i="157"/>
  <c r="Z31" i="157"/>
  <c r="Z29" i="157"/>
  <c r="M6" i="157"/>
  <c r="N6" i="157" s="1"/>
  <c r="J59" i="25"/>
  <c r="J100" i="25"/>
  <c r="F38" i="143"/>
  <c r="Z69" i="156"/>
  <c r="K47" i="156"/>
  <c r="M18" i="152"/>
  <c r="N100" i="25"/>
  <c r="G25" i="39"/>
  <c r="E15" i="43" s="1"/>
  <c r="AC29" i="156"/>
  <c r="O33" i="155"/>
  <c r="AJ20" i="155"/>
  <c r="G12" i="155"/>
  <c r="H12" i="155"/>
  <c r="Z27" i="154"/>
  <c r="K41" i="156"/>
  <c r="F6" i="156"/>
  <c r="G6" i="156" s="1"/>
  <c r="H6" i="156" s="1"/>
  <c r="AJ6" i="156" s="1"/>
  <c r="Z30" i="155"/>
  <c r="V29" i="155"/>
  <c r="G23" i="155"/>
  <c r="H23" i="155" s="1"/>
  <c r="P17" i="155"/>
  <c r="V34" i="157"/>
  <c r="P30" i="157"/>
  <c r="P23" i="157"/>
  <c r="AC23" i="157" s="1"/>
  <c r="P22" i="157"/>
  <c r="V22" i="157"/>
  <c r="K48" i="152"/>
  <c r="G16" i="152"/>
  <c r="O35" i="156"/>
  <c r="AI42" i="157"/>
  <c r="AO24" i="157"/>
  <c r="M7" i="157"/>
  <c r="N7" i="157"/>
  <c r="K19" i="152"/>
  <c r="M18" i="156"/>
  <c r="N18" i="156"/>
  <c r="P63" i="157"/>
  <c r="T63" i="157"/>
  <c r="K19" i="157"/>
  <c r="G21" i="152"/>
  <c r="AC89" i="25"/>
  <c r="AC100" i="25" s="1"/>
  <c r="R89" i="25"/>
  <c r="J89" i="25"/>
  <c r="E31" i="157"/>
  <c r="F31" i="157" s="1"/>
  <c r="G31" i="157" s="1"/>
  <c r="H31" i="157" s="1"/>
  <c r="AI31" i="157"/>
  <c r="C17" i="142"/>
  <c r="C19" i="142"/>
  <c r="D16" i="143"/>
  <c r="D28" i="143"/>
  <c r="N68" i="151"/>
  <c r="P26" i="154"/>
  <c r="V26" i="154"/>
  <c r="P16" i="154"/>
  <c r="Z84" i="155"/>
  <c r="AF9" i="155"/>
  <c r="AG9" i="155"/>
  <c r="M47" i="156"/>
  <c r="K39" i="156"/>
  <c r="P15" i="156"/>
  <c r="AC15" i="156"/>
  <c r="P12" i="156"/>
  <c r="V12" i="156" s="1"/>
  <c r="Z62" i="157"/>
  <c r="AH50" i="157"/>
  <c r="K44" i="157"/>
  <c r="P26" i="157"/>
  <c r="Q21" i="157"/>
  <c r="W21" i="157" s="1"/>
  <c r="K9" i="157"/>
  <c r="K46" i="152"/>
  <c r="M31" i="152"/>
  <c r="K16" i="152"/>
  <c r="N16" i="152"/>
  <c r="O16" i="152" s="1"/>
  <c r="R16" i="152" s="1"/>
  <c r="S16" i="152" s="1"/>
  <c r="V16" i="152" s="1"/>
  <c r="W16" i="152" s="1"/>
  <c r="Z16" i="152" s="1"/>
  <c r="AA16" i="152" s="1"/>
  <c r="M16" i="152"/>
  <c r="Q16" i="152" s="1"/>
  <c r="U16" i="152" s="1"/>
  <c r="Y16" i="152" s="1"/>
  <c r="S21" i="152"/>
  <c r="V21" i="152"/>
  <c r="W21" i="152" s="1"/>
  <c r="Z21" i="152" s="1"/>
  <c r="AA21" i="152" s="1"/>
  <c r="K41" i="151"/>
  <c r="N41" i="151" s="1"/>
  <c r="M7" i="154"/>
  <c r="N7" i="154"/>
  <c r="M6" i="154"/>
  <c r="Q19" i="155"/>
  <c r="W19" i="155" s="1"/>
  <c r="C13" i="155"/>
  <c r="AF10" i="155"/>
  <c r="AG10" i="155"/>
  <c r="AO19" i="156"/>
  <c r="AI10" i="156"/>
  <c r="P10" i="156"/>
  <c r="AN9" i="156"/>
  <c r="AO9" i="156"/>
  <c r="AN8" i="156"/>
  <c r="AO8" i="156"/>
  <c r="T78" i="157"/>
  <c r="M53" i="157"/>
  <c r="M46" i="157"/>
  <c r="N46" i="157" s="1"/>
  <c r="P16" i="157"/>
  <c r="G29" i="152"/>
  <c r="P67" i="154"/>
  <c r="P72" i="156"/>
  <c r="K11" i="156"/>
  <c r="K10" i="156"/>
  <c r="V81" i="157"/>
  <c r="N59" i="157"/>
  <c r="K17" i="157"/>
  <c r="K16" i="157"/>
  <c r="K34" i="152"/>
  <c r="N34" i="152"/>
  <c r="O34" i="152" s="1"/>
  <c r="R34" i="152" s="1"/>
  <c r="S34" i="152" s="1"/>
  <c r="V34" i="152" s="1"/>
  <c r="W34" i="152" s="1"/>
  <c r="Z34" i="152" s="1"/>
  <c r="AA34" i="152" s="1"/>
  <c r="M34" i="152"/>
  <c r="Q34" i="152"/>
  <c r="M12" i="152"/>
  <c r="K12" i="152"/>
  <c r="G40" i="152"/>
  <c r="D89" i="25"/>
  <c r="D100" i="25" s="1"/>
  <c r="E12" i="125"/>
  <c r="E88" i="25"/>
  <c r="F11" i="41"/>
  <c r="N50" i="151"/>
  <c r="L41" i="151"/>
  <c r="Q21" i="154"/>
  <c r="W21" i="154"/>
  <c r="M43" i="155"/>
  <c r="N43" i="155" s="1"/>
  <c r="T43" i="155"/>
  <c r="U43" i="155" s="1"/>
  <c r="G24" i="155"/>
  <c r="H24" i="155" s="1"/>
  <c r="P54" i="156"/>
  <c r="M46" i="156"/>
  <c r="C35" i="156"/>
  <c r="F29" i="156"/>
  <c r="G29" i="156"/>
  <c r="H29" i="156"/>
  <c r="M23" i="156"/>
  <c r="P21" i="156"/>
  <c r="Q19" i="156"/>
  <c r="W19" i="156" s="1"/>
  <c r="M19" i="156"/>
  <c r="G28" i="142"/>
  <c r="M51" i="155"/>
  <c r="P25" i="155"/>
  <c r="V25" i="155"/>
  <c r="U34" i="156"/>
  <c r="AH32" i="156"/>
  <c r="E32" i="156" s="1"/>
  <c r="F32" i="156" s="1"/>
  <c r="G32" i="156" s="1"/>
  <c r="H32" i="156" s="1"/>
  <c r="N37" i="151"/>
  <c r="M10" i="154"/>
  <c r="N10" i="154" s="1"/>
  <c r="Z28" i="155"/>
  <c r="G18" i="155"/>
  <c r="H18" i="155" s="1"/>
  <c r="P16" i="155"/>
  <c r="AF12" i="155"/>
  <c r="AG12" i="155"/>
  <c r="M49" i="156"/>
  <c r="K43" i="156"/>
  <c r="L46" i="142"/>
  <c r="N41" i="142"/>
  <c r="F68" i="155"/>
  <c r="G68" i="155" s="1"/>
  <c r="H68" i="155" s="1"/>
  <c r="C74" i="155"/>
  <c r="P19" i="155"/>
  <c r="P50" i="155"/>
  <c r="M31" i="155"/>
  <c r="G25" i="155"/>
  <c r="H25" i="155"/>
  <c r="G21" i="155"/>
  <c r="H21" i="155"/>
  <c r="G19" i="155"/>
  <c r="H19" i="155"/>
  <c r="M9" i="155"/>
  <c r="N9" i="155" s="1"/>
  <c r="O55" i="156"/>
  <c r="P72" i="157"/>
  <c r="Z61" i="157"/>
  <c r="O55" i="157"/>
  <c r="M42" i="157"/>
  <c r="N42" i="157" s="1"/>
  <c r="V37" i="157"/>
  <c r="P28" i="157"/>
  <c r="P27" i="157"/>
  <c r="V27" i="157"/>
  <c r="AC27" i="157"/>
  <c r="AO25" i="157"/>
  <c r="K24" i="157"/>
  <c r="S24" i="157" s="1"/>
  <c r="M19" i="157"/>
  <c r="N19" i="157" s="1"/>
  <c r="M17" i="157"/>
  <c r="N17" i="157" s="1"/>
  <c r="E54" i="152"/>
  <c r="M13" i="152"/>
  <c r="N13" i="152" s="1"/>
  <c r="O13" i="152" s="1"/>
  <c r="D12" i="21"/>
  <c r="H89" i="25"/>
  <c r="H100" i="25" s="1"/>
  <c r="Z69" i="157"/>
  <c r="K49" i="157"/>
  <c r="AN10" i="157"/>
  <c r="AO10" i="157"/>
  <c r="G54" i="152"/>
  <c r="H57" i="152"/>
  <c r="K22" i="41"/>
  <c r="F26" i="23"/>
  <c r="I26" i="23" s="1"/>
  <c r="L26" i="23" s="1"/>
  <c r="O26" i="23" s="1"/>
  <c r="R26" i="23" s="1"/>
  <c r="P15" i="155"/>
  <c r="P6" i="155"/>
  <c r="V6" i="155"/>
  <c r="T79" i="156"/>
  <c r="Z79" i="156" s="1"/>
  <c r="O75" i="156"/>
  <c r="I55" i="156"/>
  <c r="K18" i="156"/>
  <c r="K48" i="157"/>
  <c r="K40" i="157"/>
  <c r="P24" i="157"/>
  <c r="V24" i="157"/>
  <c r="P19" i="157"/>
  <c r="P17" i="157"/>
  <c r="S17" i="157" s="1"/>
  <c r="Y17" i="157"/>
  <c r="K36" i="152"/>
  <c r="M36" i="152"/>
  <c r="N36" i="152" s="1"/>
  <c r="O36" i="152" s="1"/>
  <c r="K15" i="157"/>
  <c r="G48" i="152"/>
  <c r="G44" i="152"/>
  <c r="G41" i="152"/>
  <c r="D54" i="152"/>
  <c r="G27" i="152"/>
  <c r="AK98" i="25"/>
  <c r="AN98" i="25"/>
  <c r="AO98" i="25" s="1"/>
  <c r="AQ98" i="25" s="1"/>
  <c r="AT98" i="25" s="1"/>
  <c r="AU98" i="25" s="1"/>
  <c r="F100" i="25"/>
  <c r="M10" i="157"/>
  <c r="N10" i="157" s="1"/>
  <c r="U89" i="25"/>
  <c r="K16" i="29"/>
  <c r="K17" i="29" s="1"/>
  <c r="C32" i="60"/>
  <c r="C34" i="60" s="1"/>
  <c r="C28" i="63" s="1"/>
  <c r="AR89" i="25"/>
  <c r="AR100" i="25"/>
  <c r="J11" i="142"/>
  <c r="F14" i="39"/>
  <c r="I14" i="39" s="1"/>
  <c r="L14" i="39" s="1"/>
  <c r="O14" i="39"/>
  <c r="R14" i="39" s="1"/>
  <c r="F12" i="39"/>
  <c r="I12" i="39"/>
  <c r="L12" i="39"/>
  <c r="O12" i="39" s="1"/>
  <c r="E36" i="13"/>
  <c r="J23" i="41"/>
  <c r="L23" i="41"/>
  <c r="O23" i="41"/>
  <c r="R23" i="41" s="1"/>
  <c r="U23" i="41" s="1"/>
  <c r="X23" i="41"/>
  <c r="L89" i="25"/>
  <c r="AB82" i="25"/>
  <c r="G79" i="25"/>
  <c r="AL89" i="25"/>
  <c r="AL100" i="25" s="1"/>
  <c r="AE88" i="25"/>
  <c r="AM89" i="25"/>
  <c r="AH82" i="25"/>
  <c r="AI82" i="25"/>
  <c r="AK82" i="25" s="1"/>
  <c r="AN82" i="25" s="1"/>
  <c r="AO82" i="25" s="1"/>
  <c r="AQ82" i="25" s="1"/>
  <c r="AT82" i="25" s="1"/>
  <c r="AU82" i="25" s="1"/>
  <c r="AW82" i="25" s="1"/>
  <c r="AZ82" i="25" s="1"/>
  <c r="E59" i="25"/>
  <c r="O89" i="25"/>
  <c r="I89" i="25"/>
  <c r="I100" i="25" s="1"/>
  <c r="N89" i="25"/>
  <c r="AH85" i="25"/>
  <c r="AI85" i="25"/>
  <c r="AK85" i="25" s="1"/>
  <c r="AN85" i="25" s="1"/>
  <c r="AO85" i="25"/>
  <c r="AQ85" i="25" s="1"/>
  <c r="AT85" i="25" s="1"/>
  <c r="AU85" i="25" s="1"/>
  <c r="AW85" i="25" s="1"/>
  <c r="AZ85" i="25" s="1"/>
  <c r="AH81" i="25"/>
  <c r="AI81" i="25"/>
  <c r="AK81" i="25" s="1"/>
  <c r="AN81" i="25"/>
  <c r="AO81" i="25" s="1"/>
  <c r="AQ81" i="25" s="1"/>
  <c r="AT81" i="25" s="1"/>
  <c r="AU81" i="25" s="1"/>
  <c r="AW81" i="25" s="1"/>
  <c r="AZ81" i="25" s="1"/>
  <c r="E28" i="13"/>
  <c r="J19" i="41"/>
  <c r="F20" i="39"/>
  <c r="I20" i="39"/>
  <c r="L20" i="39" s="1"/>
  <c r="O20" i="39" s="1"/>
  <c r="R20" i="39" s="1"/>
  <c r="J10" i="41"/>
  <c r="L10" i="41"/>
  <c r="O10" i="41" s="1"/>
  <c r="R10" i="41" s="1"/>
  <c r="U10" i="41" s="1"/>
  <c r="L16" i="29"/>
  <c r="L17" i="29" s="1"/>
  <c r="D32" i="60" s="1"/>
  <c r="D34" i="60" s="1"/>
  <c r="D28" i="63" s="1"/>
  <c r="F25" i="23"/>
  <c r="I25" i="23"/>
  <c r="L25" i="23"/>
  <c r="F15" i="23"/>
  <c r="I15" i="23" s="1"/>
  <c r="L15" i="23"/>
  <c r="O15" i="23" s="1"/>
  <c r="R15" i="23" s="1"/>
  <c r="I18" i="23"/>
  <c r="L18" i="23" s="1"/>
  <c r="O18" i="23" s="1"/>
  <c r="E11" i="13"/>
  <c r="E20" i="13"/>
  <c r="E34" i="13"/>
  <c r="E32" i="13"/>
  <c r="F15" i="89"/>
  <c r="G37" i="143"/>
  <c r="J37" i="142"/>
  <c r="K20" i="151"/>
  <c r="N20" i="151"/>
  <c r="O20" i="151" s="1"/>
  <c r="M24" i="154"/>
  <c r="M76" i="155"/>
  <c r="G27" i="155"/>
  <c r="H27" i="155"/>
  <c r="F35" i="143"/>
  <c r="C64" i="151"/>
  <c r="M30" i="151"/>
  <c r="N68" i="154"/>
  <c r="T68" i="154" s="1"/>
  <c r="P64" i="154"/>
  <c r="Q16" i="154"/>
  <c r="W16" i="154"/>
  <c r="K7" i="154"/>
  <c r="S7" i="154" s="1"/>
  <c r="G15" i="89"/>
  <c r="M18" i="151"/>
  <c r="K18" i="151"/>
  <c r="K17" i="154"/>
  <c r="J46" i="142"/>
  <c r="H7" i="89"/>
  <c r="L54" i="151"/>
  <c r="M11" i="151"/>
  <c r="M56" i="154"/>
  <c r="M44" i="154"/>
  <c r="P12" i="154"/>
  <c r="I11" i="142"/>
  <c r="O34" i="154"/>
  <c r="P20" i="154"/>
  <c r="P7" i="154"/>
  <c r="F53" i="155"/>
  <c r="K45" i="155"/>
  <c r="Y36" i="155"/>
  <c r="Z36" i="155" s="1"/>
  <c r="Z32" i="155"/>
  <c r="P27" i="155"/>
  <c r="M22" i="155"/>
  <c r="Q22" i="155"/>
  <c r="W22" i="155" s="1"/>
  <c r="K19" i="155"/>
  <c r="S19" i="155" s="1"/>
  <c r="Q16" i="155"/>
  <c r="H6" i="155"/>
  <c r="N59" i="156"/>
  <c r="O6" i="156"/>
  <c r="AC60" i="157"/>
  <c r="Z74" i="154"/>
  <c r="Z31" i="154"/>
  <c r="K31" i="155"/>
  <c r="AF27" i="155"/>
  <c r="W26" i="155"/>
  <c r="M21" i="155"/>
  <c r="N21" i="155"/>
  <c r="D37" i="155"/>
  <c r="D85" i="155" s="1"/>
  <c r="N60" i="156"/>
  <c r="P52" i="155"/>
  <c r="V52" i="155" s="1"/>
  <c r="P48" i="155"/>
  <c r="M46" i="155"/>
  <c r="N46" i="155" s="1"/>
  <c r="P44" i="155"/>
  <c r="P50" i="157"/>
  <c r="AC50" i="157" s="1"/>
  <c r="M18" i="155"/>
  <c r="N18" i="155" s="1"/>
  <c r="V48" i="156"/>
  <c r="C37" i="155"/>
  <c r="C85" i="155" s="1"/>
  <c r="C87" i="155" s="1"/>
  <c r="Q17" i="155"/>
  <c r="G15" i="155"/>
  <c r="Q8" i="155"/>
  <c r="W8" i="155"/>
  <c r="P7" i="155"/>
  <c r="T81" i="156"/>
  <c r="Z81" i="156" s="1"/>
  <c r="AH41" i="156"/>
  <c r="E41" i="156"/>
  <c r="AI37" i="156"/>
  <c r="K37" i="156"/>
  <c r="S37" i="156" s="1"/>
  <c r="Z29" i="156"/>
  <c r="AO25" i="156"/>
  <c r="P19" i="156"/>
  <c r="AC19" i="156" s="1"/>
  <c r="AI16" i="156"/>
  <c r="Q15" i="156"/>
  <c r="W15" i="156" s="1"/>
  <c r="AH12" i="156"/>
  <c r="AI12" i="156" s="1"/>
  <c r="AC11" i="156"/>
  <c r="AN11" i="156"/>
  <c r="AO11" i="156" s="1"/>
  <c r="Q9" i="156"/>
  <c r="W9" i="156"/>
  <c r="M9" i="156"/>
  <c r="N9" i="156" s="1"/>
  <c r="F64" i="157"/>
  <c r="AI47" i="157"/>
  <c r="K45" i="157"/>
  <c r="N44" i="157"/>
  <c r="E43" i="157"/>
  <c r="K41" i="157"/>
  <c r="N40" i="157"/>
  <c r="M37" i="157"/>
  <c r="N37" i="157"/>
  <c r="W37" i="157"/>
  <c r="V29" i="157"/>
  <c r="AC29" i="157"/>
  <c r="T36" i="152"/>
  <c r="X36" i="152" s="1"/>
  <c r="M58" i="156"/>
  <c r="N58" i="156" s="1"/>
  <c r="T58" i="156" s="1"/>
  <c r="U58" i="156" s="1"/>
  <c r="AI28" i="156"/>
  <c r="N28" i="156"/>
  <c r="M26" i="156"/>
  <c r="N26" i="156" s="1"/>
  <c r="D24" i="156"/>
  <c r="AI17" i="156"/>
  <c r="O41" i="157"/>
  <c r="AH32" i="157"/>
  <c r="E32" i="157"/>
  <c r="F32" i="157"/>
  <c r="G32" i="157" s="1"/>
  <c r="H32" i="157" s="1"/>
  <c r="M30" i="157"/>
  <c r="N30" i="157"/>
  <c r="K40" i="156"/>
  <c r="M6" i="156"/>
  <c r="Q6" i="156"/>
  <c r="W6" i="156" s="1"/>
  <c r="O75" i="157"/>
  <c r="V60" i="157"/>
  <c r="AH49" i="157"/>
  <c r="AH40" i="157"/>
  <c r="D13" i="155"/>
  <c r="AF13" i="155" s="1"/>
  <c r="V37" i="156"/>
  <c r="M37" i="156"/>
  <c r="N37" i="156" s="1"/>
  <c r="K28" i="156"/>
  <c r="Q22" i="156"/>
  <c r="W22" i="156"/>
  <c r="D13" i="156"/>
  <c r="V11" i="156"/>
  <c r="AN6" i="156"/>
  <c r="AO6" i="156" s="1"/>
  <c r="H57" i="157"/>
  <c r="G55" i="157"/>
  <c r="O48" i="157"/>
  <c r="P48" i="157" s="1"/>
  <c r="K47" i="157"/>
  <c r="O39" i="157"/>
  <c r="E37" i="157"/>
  <c r="AI37" i="157"/>
  <c r="Z34" i="157"/>
  <c r="AA34" i="157"/>
  <c r="AH29" i="157"/>
  <c r="P40" i="152"/>
  <c r="T40" i="152"/>
  <c r="X40" i="152"/>
  <c r="T18" i="152"/>
  <c r="X18" i="152" s="1"/>
  <c r="X33" i="152" s="1"/>
  <c r="AH45" i="157"/>
  <c r="AH41" i="157"/>
  <c r="C35" i="157"/>
  <c r="AI26" i="157"/>
  <c r="Q25" i="157"/>
  <c r="Q22" i="157"/>
  <c r="AH21" i="157"/>
  <c r="AH19" i="157"/>
  <c r="E19" i="157" s="1"/>
  <c r="F19" i="157" s="1"/>
  <c r="AH17" i="157"/>
  <c r="Q16" i="157"/>
  <c r="D13" i="157"/>
  <c r="AI12" i="157"/>
  <c r="AI10" i="157"/>
  <c r="C9" i="157"/>
  <c r="AH7" i="157"/>
  <c r="M50" i="152"/>
  <c r="M47" i="152"/>
  <c r="Q47" i="152" s="1"/>
  <c r="U47" i="152"/>
  <c r="Y47" i="152" s="1"/>
  <c r="K43" i="152"/>
  <c r="N43" i="152" s="1"/>
  <c r="O43" i="152" s="1"/>
  <c r="R43" i="152"/>
  <c r="S43" i="152" s="1"/>
  <c r="V43" i="152" s="1"/>
  <c r="W43" i="152"/>
  <c r="Z43" i="152" s="1"/>
  <c r="AA43" i="152" s="1"/>
  <c r="M40" i="152"/>
  <c r="D33" i="152"/>
  <c r="D57" i="152" s="1"/>
  <c r="D79" i="152" s="1"/>
  <c r="M30" i="152"/>
  <c r="N30" i="152" s="1"/>
  <c r="Q30" i="152"/>
  <c r="M28" i="152"/>
  <c r="G15" i="152"/>
  <c r="K26" i="157"/>
  <c r="AO21" i="157"/>
  <c r="G37" i="152"/>
  <c r="G36" i="152"/>
  <c r="K29" i="152"/>
  <c r="N29" i="152"/>
  <c r="O29" i="152" s="1"/>
  <c r="R29" i="152"/>
  <c r="S29" i="152" s="1"/>
  <c r="V29" i="152" s="1"/>
  <c r="W29" i="152"/>
  <c r="Z29" i="152" s="1"/>
  <c r="AA29" i="152" s="1"/>
  <c r="G18" i="152"/>
  <c r="G10" i="152"/>
  <c r="O10" i="152"/>
  <c r="R10" i="152" s="1"/>
  <c r="S10" i="152" s="1"/>
  <c r="Q24" i="157"/>
  <c r="W10" i="157"/>
  <c r="Q6" i="157"/>
  <c r="W6" i="157" s="1"/>
  <c r="J57" i="152"/>
  <c r="M53" i="152"/>
  <c r="AI97" i="25"/>
  <c r="AK97" i="25" s="1"/>
  <c r="AN97" i="25" s="1"/>
  <c r="AO97" i="25" s="1"/>
  <c r="AQ97" i="25" s="1"/>
  <c r="AT97" i="25" s="1"/>
  <c r="AU97" i="25" s="1"/>
  <c r="F27" i="23"/>
  <c r="I27" i="23"/>
  <c r="L27" i="23"/>
  <c r="O27" i="23" s="1"/>
  <c r="K12" i="41"/>
  <c r="F16" i="23"/>
  <c r="G29" i="23"/>
  <c r="Q13" i="41"/>
  <c r="Q12" i="41"/>
  <c r="AE61" i="25"/>
  <c r="N25" i="41"/>
  <c r="K78" i="25"/>
  <c r="M62" i="25"/>
  <c r="M78" i="25" s="1"/>
  <c r="E35" i="13"/>
  <c r="E31" i="13"/>
  <c r="AI94" i="25"/>
  <c r="AK94" i="25"/>
  <c r="AN94" i="25" s="1"/>
  <c r="AO94" i="25" s="1"/>
  <c r="C18" i="35"/>
  <c r="J14" i="41"/>
  <c r="L14" i="41"/>
  <c r="P21" i="25"/>
  <c r="F10" i="39"/>
  <c r="P12" i="41"/>
  <c r="J25" i="39"/>
  <c r="F15" i="43" s="1"/>
  <c r="F17" i="43" s="1"/>
  <c r="G8" i="43" s="1"/>
  <c r="G14" i="43" s="1"/>
  <c r="G17" i="43" s="1"/>
  <c r="J12" i="41"/>
  <c r="L12" i="41" s="1"/>
  <c r="O12" i="41" s="1"/>
  <c r="AH10" i="25"/>
  <c r="J22" i="41"/>
  <c r="L22" i="41"/>
  <c r="O22" i="41" s="1"/>
  <c r="R22" i="41"/>
  <c r="F22" i="39"/>
  <c r="G10" i="125"/>
  <c r="G12" i="125"/>
  <c r="F12" i="125"/>
  <c r="G11" i="125"/>
  <c r="U54" i="156"/>
  <c r="V54" i="156"/>
  <c r="AA54" i="156" s="1"/>
  <c r="D24" i="21"/>
  <c r="AC22" i="157"/>
  <c r="AC28" i="157"/>
  <c r="D34" i="21"/>
  <c r="D15" i="21"/>
  <c r="D22" i="21"/>
  <c r="H35" i="143"/>
  <c r="T59" i="157"/>
  <c r="U59" i="157" s="1"/>
  <c r="V30" i="156"/>
  <c r="AC26" i="156"/>
  <c r="AC21" i="156"/>
  <c r="D30" i="21"/>
  <c r="D27" i="21"/>
  <c r="D13" i="21"/>
  <c r="D8" i="21"/>
  <c r="AI29" i="156"/>
  <c r="D17" i="21"/>
  <c r="D28" i="21"/>
  <c r="D25" i="21"/>
  <c r="D9" i="21"/>
  <c r="D14" i="21"/>
  <c r="AC72" i="156"/>
  <c r="D29" i="21"/>
  <c r="D26" i="21"/>
  <c r="D23" i="21"/>
  <c r="D32" i="21" s="1"/>
  <c r="V72" i="156"/>
  <c r="F74" i="155"/>
  <c r="AI6" i="156"/>
  <c r="AI32" i="157"/>
  <c r="M55" i="157"/>
  <c r="AI24" i="156"/>
  <c r="AN16" i="25"/>
  <c r="AO16" i="25"/>
  <c r="AQ16" i="25" s="1"/>
  <c r="AT16" i="25" s="1"/>
  <c r="AU16" i="25" s="1"/>
  <c r="AW16" i="25" s="1"/>
  <c r="AZ16" i="25" s="1"/>
  <c r="V44" i="155"/>
  <c r="G38" i="143"/>
  <c r="AK30" i="25"/>
  <c r="AN30" i="25" s="1"/>
  <c r="AO30" i="25" s="1"/>
  <c r="AQ30" i="25"/>
  <c r="AT30" i="25" s="1"/>
  <c r="AH61" i="25"/>
  <c r="H15" i="155"/>
  <c r="AI41" i="156"/>
  <c r="V10" i="152"/>
  <c r="P39" i="157"/>
  <c r="I7" i="89"/>
  <c r="H10" i="89"/>
  <c r="H12" i="89" s="1"/>
  <c r="H15" i="89" s="1"/>
  <c r="I37" i="143"/>
  <c r="H37" i="143"/>
  <c r="Q12" i="25"/>
  <c r="S12" i="25" s="1"/>
  <c r="V12" i="25" s="1"/>
  <c r="T12" i="41"/>
  <c r="O30" i="152"/>
  <c r="R30" i="152" s="1"/>
  <c r="S30" i="152" s="1"/>
  <c r="V30" i="152" s="1"/>
  <c r="W30" i="152"/>
  <c r="Z30" i="152"/>
  <c r="AA30" i="152" s="1"/>
  <c r="H66" i="157"/>
  <c r="AI10" i="25"/>
  <c r="AK10" i="25" s="1"/>
  <c r="AN10" i="25" s="1"/>
  <c r="AO10" i="25" s="1"/>
  <c r="S12" i="41"/>
  <c r="T23" i="41"/>
  <c r="P62" i="25"/>
  <c r="I16" i="23"/>
  <c r="L16" i="23" s="1"/>
  <c r="Q53" i="152"/>
  <c r="AI15" i="157"/>
  <c r="V48" i="155"/>
  <c r="H38" i="143"/>
  <c r="H39" i="143"/>
  <c r="T19" i="41"/>
  <c r="T14" i="41"/>
  <c r="Q62" i="25"/>
  <c r="S62" i="25" s="1"/>
  <c r="V62" i="25" s="1"/>
  <c r="T20" i="41"/>
  <c r="T11" i="41"/>
  <c r="S11" i="41"/>
  <c r="W10" i="152"/>
  <c r="Z10" i="152" s="1"/>
  <c r="AA10" i="152" s="1"/>
  <c r="AQ10" i="25"/>
  <c r="AT10" i="25" s="1"/>
  <c r="T22" i="41"/>
  <c r="S22" i="41"/>
  <c r="S23" i="41"/>
  <c r="T21" i="41"/>
  <c r="O25" i="23"/>
  <c r="S21" i="41"/>
  <c r="S14" i="41"/>
  <c r="I38" i="143"/>
  <c r="F73" i="143"/>
  <c r="D9" i="63"/>
  <c r="S19" i="41"/>
  <c r="S20" i="41"/>
  <c r="S10" i="41"/>
  <c r="T16" i="41"/>
  <c r="T15" i="41"/>
  <c r="T13" i="41"/>
  <c r="T17" i="41"/>
  <c r="O22" i="23"/>
  <c r="R22" i="23" s="1"/>
  <c r="T18" i="41"/>
  <c r="W18" i="41"/>
  <c r="W15" i="41"/>
  <c r="W16" i="41"/>
  <c r="W17" i="41"/>
  <c r="W13" i="41"/>
  <c r="S13" i="41"/>
  <c r="S15" i="41"/>
  <c r="S17" i="41"/>
  <c r="S18" i="41"/>
  <c r="S16" i="41"/>
  <c r="G15" i="43"/>
  <c r="AG96" i="25"/>
  <c r="E26" i="103"/>
  <c r="E19" i="103"/>
  <c r="E22" i="103"/>
  <c r="E17" i="103"/>
  <c r="E16" i="103"/>
  <c r="E21" i="103" s="1"/>
  <c r="E15" i="103"/>
  <c r="E14" i="103"/>
  <c r="E13" i="103"/>
  <c r="E23" i="103"/>
  <c r="E11" i="103"/>
  <c r="E20" i="103"/>
  <c r="E10" i="103"/>
  <c r="E9" i="103"/>
  <c r="E8" i="103"/>
  <c r="E12" i="103"/>
  <c r="E7" i="103"/>
  <c r="D35" i="60"/>
  <c r="D29" i="63"/>
  <c r="E24" i="103"/>
  <c r="AG93" i="25"/>
  <c r="AG97" i="25"/>
  <c r="D24" i="103"/>
  <c r="K97" i="151"/>
  <c r="D141" i="151"/>
  <c r="D145" i="151"/>
  <c r="K105" i="151"/>
  <c r="F24" i="151"/>
  <c r="D21" i="103"/>
  <c r="D12" i="103"/>
  <c r="D27" i="103" s="1"/>
  <c r="K29" i="103" s="1"/>
  <c r="D27" i="15"/>
  <c r="E14" i="15" s="1"/>
  <c r="F85" i="151"/>
  <c r="D142" i="151" s="1"/>
  <c r="F33" i="151"/>
  <c r="E148" i="151"/>
  <c r="H71" i="151"/>
  <c r="W17" i="155"/>
  <c r="K47" i="151"/>
  <c r="N47" i="151"/>
  <c r="O47" i="151"/>
  <c r="L47" i="151"/>
  <c r="L29" i="151"/>
  <c r="K29" i="151"/>
  <c r="N29" i="151" s="1"/>
  <c r="O29" i="151" s="1"/>
  <c r="K36" i="154"/>
  <c r="S36" i="154" s="1"/>
  <c r="E8" i="157"/>
  <c r="AI8" i="157"/>
  <c r="L28" i="151"/>
  <c r="L26" i="151"/>
  <c r="K26" i="151"/>
  <c r="N26" i="151" s="1"/>
  <c r="K38" i="154"/>
  <c r="K28" i="154"/>
  <c r="P28" i="154"/>
  <c r="V28" i="154"/>
  <c r="K52" i="151"/>
  <c r="N52" i="151"/>
  <c r="O52" i="151"/>
  <c r="L52" i="151"/>
  <c r="L27" i="151"/>
  <c r="L11" i="151"/>
  <c r="N11" i="151"/>
  <c r="O11" i="151"/>
  <c r="K11" i="151"/>
  <c r="V62" i="154"/>
  <c r="M26" i="154"/>
  <c r="N26" i="154" s="1"/>
  <c r="K26" i="154"/>
  <c r="S26" i="154"/>
  <c r="Q28" i="152"/>
  <c r="U28" i="152" s="1"/>
  <c r="Y28" i="152" s="1"/>
  <c r="N28" i="152"/>
  <c r="O28" i="152"/>
  <c r="R28" i="152" s="1"/>
  <c r="S28" i="152" s="1"/>
  <c r="V28" i="152" s="1"/>
  <c r="W28" i="152" s="1"/>
  <c r="Z28" i="152" s="1"/>
  <c r="AA28" i="152" s="1"/>
  <c r="N50" i="152"/>
  <c r="O50" i="152"/>
  <c r="R50" i="152" s="1"/>
  <c r="S50" i="152" s="1"/>
  <c r="V50" i="152" s="1"/>
  <c r="W50" i="152" s="1"/>
  <c r="Z50" i="152" s="1"/>
  <c r="AA50" i="152" s="1"/>
  <c r="N36" i="154"/>
  <c r="L43" i="151"/>
  <c r="K43" i="151"/>
  <c r="N43" i="151"/>
  <c r="I75" i="157"/>
  <c r="AH22" i="25"/>
  <c r="AI22" i="25" s="1"/>
  <c r="AK22" i="25" s="1"/>
  <c r="AN22" i="25" s="1"/>
  <c r="AO22" i="25" s="1"/>
  <c r="AQ22" i="25" s="1"/>
  <c r="AT22" i="25" s="1"/>
  <c r="AU22" i="25" s="1"/>
  <c r="AW22" i="25" s="1"/>
  <c r="E25" i="39"/>
  <c r="J20" i="41"/>
  <c r="P51" i="155"/>
  <c r="Q25" i="155"/>
  <c r="W25" i="155" s="1"/>
  <c r="N25" i="155"/>
  <c r="G33" i="142"/>
  <c r="C32" i="143"/>
  <c r="W8" i="156"/>
  <c r="AH54" i="157"/>
  <c r="AI54" i="157"/>
  <c r="AI40" i="156"/>
  <c r="F119" i="151"/>
  <c r="AH54" i="156"/>
  <c r="AI54" i="156"/>
  <c r="AH22" i="157"/>
  <c r="AI22" i="157" s="1"/>
  <c r="E22" i="157"/>
  <c r="F22" i="157" s="1"/>
  <c r="G22" i="157" s="1"/>
  <c r="H22" i="157" s="1"/>
  <c r="Q17" i="157"/>
  <c r="W17" i="157" s="1"/>
  <c r="O63" i="151"/>
  <c r="P58" i="154"/>
  <c r="Q7" i="157"/>
  <c r="K10" i="157"/>
  <c r="K47" i="155"/>
  <c r="Q16" i="156"/>
  <c r="W16" i="156" s="1"/>
  <c r="F105" i="151"/>
  <c r="Q25" i="156"/>
  <c r="W25" i="156"/>
  <c r="Z25" i="156" s="1"/>
  <c r="AA25" i="156" s="1"/>
  <c r="Q23" i="156"/>
  <c r="W23" i="156"/>
  <c r="AH25" i="157"/>
  <c r="E25" i="157" s="1"/>
  <c r="F25" i="157" s="1"/>
  <c r="G25" i="157" s="1"/>
  <c r="H25" i="157" s="1"/>
  <c r="AH18" i="157"/>
  <c r="E18" i="157" s="1"/>
  <c r="F18" i="157"/>
  <c r="G18" i="157" s="1"/>
  <c r="H18" i="157" s="1"/>
  <c r="AI53" i="156"/>
  <c r="W19" i="157"/>
  <c r="O26" i="151"/>
  <c r="AI18" i="157"/>
  <c r="N6" i="154"/>
  <c r="E50" i="157"/>
  <c r="F50" i="157"/>
  <c r="G50" i="157"/>
  <c r="H50" i="157"/>
  <c r="AI50" i="157"/>
  <c r="V25" i="157"/>
  <c r="P47" i="154"/>
  <c r="V47" i="154"/>
  <c r="K47" i="154"/>
  <c r="P9" i="154"/>
  <c r="V9" i="154"/>
  <c r="K9" i="154"/>
  <c r="W39" i="155"/>
  <c r="M39" i="155"/>
  <c r="N39" i="155" s="1"/>
  <c r="V65" i="156"/>
  <c r="N65" i="156"/>
  <c r="T65" i="156"/>
  <c r="U65" i="156"/>
  <c r="AC65" i="156"/>
  <c r="AI50" i="156"/>
  <c r="O39" i="156"/>
  <c r="P39" i="156" s="1"/>
  <c r="AC39" i="156" s="1"/>
  <c r="V50" i="157"/>
  <c r="AC72" i="157"/>
  <c r="AI32" i="156"/>
  <c r="E7" i="157"/>
  <c r="AI7" i="157"/>
  <c r="U66" i="155"/>
  <c r="M66" i="154"/>
  <c r="N66" i="154" s="1"/>
  <c r="T66" i="154" s="1"/>
  <c r="N64" i="154"/>
  <c r="P42" i="154"/>
  <c r="K41" i="154"/>
  <c r="M25" i="154"/>
  <c r="Q24" i="154"/>
  <c r="W24" i="154" s="1"/>
  <c r="M22" i="154"/>
  <c r="N22" i="154" s="1"/>
  <c r="K6" i="154"/>
  <c r="P6" i="154"/>
  <c r="V6" i="154" s="1"/>
  <c r="M42" i="155"/>
  <c r="N42" i="155" s="1"/>
  <c r="V11" i="155"/>
  <c r="Q10" i="155"/>
  <c r="W10" i="155" s="1"/>
  <c r="M10" i="155"/>
  <c r="N10" i="155"/>
  <c r="M8" i="155"/>
  <c r="N8" i="155" s="1"/>
  <c r="K6" i="155"/>
  <c r="S6" i="155"/>
  <c r="Y6" i="155" s="1"/>
  <c r="X6" i="155"/>
  <c r="M72" i="156"/>
  <c r="L75" i="156"/>
  <c r="M50" i="156"/>
  <c r="K50" i="156"/>
  <c r="G25" i="156"/>
  <c r="H25" i="156" s="1"/>
  <c r="M11" i="156"/>
  <c r="W11" i="156"/>
  <c r="N48" i="157"/>
  <c r="V63" i="157"/>
  <c r="AC63" i="157"/>
  <c r="E21" i="157"/>
  <c r="F21" i="157" s="1"/>
  <c r="G21" i="157" s="1"/>
  <c r="H21" i="157" s="1"/>
  <c r="AI21" i="157"/>
  <c r="P41" i="155"/>
  <c r="N44" i="154"/>
  <c r="Q18" i="154"/>
  <c r="W18" i="154" s="1"/>
  <c r="P25" i="156"/>
  <c r="AC25" i="156"/>
  <c r="M16" i="156"/>
  <c r="N16" i="156" s="1"/>
  <c r="M10" i="156"/>
  <c r="M65" i="157"/>
  <c r="N65" i="157" s="1"/>
  <c r="T65" i="157" s="1"/>
  <c r="U65" i="157" s="1"/>
  <c r="H27" i="157"/>
  <c r="M15" i="157"/>
  <c r="N15" i="157"/>
  <c r="AI6" i="157"/>
  <c r="N49" i="156"/>
  <c r="M45" i="154"/>
  <c r="P62" i="155"/>
  <c r="I57" i="155"/>
  <c r="K50" i="155"/>
  <c r="M50" i="155"/>
  <c r="K29" i="155"/>
  <c r="M29" i="155"/>
  <c r="N29" i="155" s="1"/>
  <c r="T29" i="155"/>
  <c r="K25" i="155"/>
  <c r="S25" i="155"/>
  <c r="M45" i="156"/>
  <c r="K45" i="156"/>
  <c r="N76" i="155"/>
  <c r="T76" i="155"/>
  <c r="O42" i="156"/>
  <c r="P42" i="156"/>
  <c r="AC34" i="157"/>
  <c r="N34" i="157"/>
  <c r="Q18" i="157"/>
  <c r="W18" i="157"/>
  <c r="I33" i="152"/>
  <c r="P47" i="155"/>
  <c r="M24" i="157"/>
  <c r="N24" i="157" s="1"/>
  <c r="K22" i="157"/>
  <c r="S22" i="157"/>
  <c r="U41" i="154"/>
  <c r="P40" i="154"/>
  <c r="V40" i="154" s="1"/>
  <c r="P39" i="154"/>
  <c r="V39" i="154" s="1"/>
  <c r="W22" i="154"/>
  <c r="P54" i="157"/>
  <c r="N26" i="157"/>
  <c r="T78" i="156"/>
  <c r="Z78" i="156" s="1"/>
  <c r="F73" i="156"/>
  <c r="G73" i="156" s="1"/>
  <c r="AI25" i="157"/>
  <c r="O16" i="23"/>
  <c r="R16" i="23" s="1"/>
  <c r="Y49" i="157"/>
  <c r="Z49" i="157"/>
  <c r="D139" i="151"/>
  <c r="V19" i="155"/>
  <c r="AC49" i="157"/>
  <c r="V49" i="157"/>
  <c r="AC12" i="156"/>
  <c r="S12" i="156"/>
  <c r="T12" i="156" s="1"/>
  <c r="P38" i="154"/>
  <c r="V38" i="154"/>
  <c r="O50" i="154"/>
  <c r="Q32" i="154"/>
  <c r="W32" i="154" s="1"/>
  <c r="J34" i="154"/>
  <c r="T82" i="155"/>
  <c r="Z82" i="155" s="1"/>
  <c r="H42" i="155"/>
  <c r="F37" i="155"/>
  <c r="Q31" i="152"/>
  <c r="D21" i="142"/>
  <c r="J12" i="142"/>
  <c r="J13" i="142"/>
  <c r="M10" i="89"/>
  <c r="M12" i="89"/>
  <c r="M14" i="89" s="1"/>
  <c r="M15" i="89" s="1"/>
  <c r="M54" i="151"/>
  <c r="K54" i="151"/>
  <c r="N54" i="151"/>
  <c r="O54" i="151" s="1"/>
  <c r="O65" i="154"/>
  <c r="P49" i="154"/>
  <c r="P48" i="154"/>
  <c r="I50" i="154"/>
  <c r="V17" i="154"/>
  <c r="P13" i="152"/>
  <c r="T13" i="152" s="1"/>
  <c r="L33" i="152"/>
  <c r="M25" i="25"/>
  <c r="P25" i="25"/>
  <c r="Q25" i="25" s="1"/>
  <c r="S25" i="25" s="1"/>
  <c r="V25" i="25" s="1"/>
  <c r="O50" i="151"/>
  <c r="E46" i="142"/>
  <c r="E55" i="142" s="1"/>
  <c r="E47" i="156"/>
  <c r="AI47" i="156"/>
  <c r="N62" i="165"/>
  <c r="O35" i="165"/>
  <c r="E62" i="165"/>
  <c r="G62" i="165" s="1"/>
  <c r="G35" i="165"/>
  <c r="S19" i="157"/>
  <c r="M21" i="157"/>
  <c r="N21" i="157"/>
  <c r="AC18" i="156"/>
  <c r="V18" i="156"/>
  <c r="X18" i="156" s="1"/>
  <c r="C62" i="143"/>
  <c r="O21" i="151"/>
  <c r="P10" i="154"/>
  <c r="S10" i="154" s="1"/>
  <c r="Y10" i="154" s="1"/>
  <c r="O13" i="154"/>
  <c r="N47" i="155"/>
  <c r="R85" i="155"/>
  <c r="Q24" i="155"/>
  <c r="W24" i="155" s="1"/>
  <c r="K23" i="155"/>
  <c r="S23" i="155"/>
  <c r="Y23" i="155" s="1"/>
  <c r="P23" i="155"/>
  <c r="V23" i="155" s="1"/>
  <c r="V21" i="155"/>
  <c r="K21" i="155"/>
  <c r="S21" i="155"/>
  <c r="F9" i="155"/>
  <c r="F13" i="155" s="1"/>
  <c r="O9" i="155"/>
  <c r="N63" i="156"/>
  <c r="O46" i="156"/>
  <c r="P46" i="156" s="1"/>
  <c r="V46" i="156" s="1"/>
  <c r="AH44" i="156"/>
  <c r="AI44" i="156" s="1"/>
  <c r="E44" i="156"/>
  <c r="F44" i="156" s="1"/>
  <c r="G44" i="156" s="1"/>
  <c r="H44" i="156" s="1"/>
  <c r="O8" i="156"/>
  <c r="P58" i="157"/>
  <c r="N58" i="157"/>
  <c r="M28" i="157"/>
  <c r="K28" i="157"/>
  <c r="Q23" i="157"/>
  <c r="W23" i="157"/>
  <c r="V15" i="155"/>
  <c r="H54" i="142"/>
  <c r="F55" i="142"/>
  <c r="F28" i="142"/>
  <c r="F33" i="142" s="1"/>
  <c r="E76" i="151"/>
  <c r="E85" i="151" s="1"/>
  <c r="C85" i="151"/>
  <c r="L45" i="151"/>
  <c r="T71" i="154"/>
  <c r="Z71" i="154"/>
  <c r="P49" i="155"/>
  <c r="T49" i="155" s="1"/>
  <c r="U49" i="155" s="1"/>
  <c r="K49" i="155"/>
  <c r="N43" i="156"/>
  <c r="M27" i="156"/>
  <c r="N27" i="156"/>
  <c r="K27" i="156"/>
  <c r="S27" i="156" s="1"/>
  <c r="K24" i="156"/>
  <c r="D20" i="156"/>
  <c r="D35" i="156" s="1"/>
  <c r="AH18" i="156"/>
  <c r="G16" i="156"/>
  <c r="Y11" i="156"/>
  <c r="Z11" i="156" s="1"/>
  <c r="L13" i="156"/>
  <c r="L54" i="152"/>
  <c r="W6" i="154"/>
  <c r="D20" i="157"/>
  <c r="F20" i="157"/>
  <c r="W18" i="156"/>
  <c r="M22" i="157"/>
  <c r="N22" i="157"/>
  <c r="Q8" i="157"/>
  <c r="W8" i="157"/>
  <c r="S36" i="165"/>
  <c r="F16" i="126"/>
  <c r="AA22" i="165"/>
  <c r="D25" i="39"/>
  <c r="D15" i="43" s="1"/>
  <c r="D17" i="43"/>
  <c r="S28" i="41"/>
  <c r="N26" i="39"/>
  <c r="F78" i="165"/>
  <c r="J35" i="165"/>
  <c r="K35" i="165" s="1"/>
  <c r="K33" i="165"/>
  <c r="K39" i="165"/>
  <c r="J56" i="165"/>
  <c r="K56" i="165"/>
  <c r="V25" i="156"/>
  <c r="Y65" i="156"/>
  <c r="Z65" i="156" s="1"/>
  <c r="AA65" i="156"/>
  <c r="V48" i="154"/>
  <c r="W10" i="156"/>
  <c r="AC54" i="157"/>
  <c r="N45" i="156"/>
  <c r="N50" i="155"/>
  <c r="N72" i="156"/>
  <c r="T72" i="156"/>
  <c r="U72" i="156" s="1"/>
  <c r="K33" i="152"/>
  <c r="AI27" i="157"/>
  <c r="V41" i="155"/>
  <c r="AC49" i="156"/>
  <c r="V58" i="157"/>
  <c r="O75" i="154"/>
  <c r="L57" i="152"/>
  <c r="L79" i="152" s="1"/>
  <c r="H29" i="155"/>
  <c r="G20" i="157"/>
  <c r="H20" i="157" s="1"/>
  <c r="N28" i="157"/>
  <c r="P9" i="155"/>
  <c r="S9" i="155" s="1"/>
  <c r="Y9" i="155"/>
  <c r="X9" i="155" s="1"/>
  <c r="O13" i="155"/>
  <c r="Z10" i="154"/>
  <c r="P33" i="152"/>
  <c r="J62" i="165"/>
  <c r="J78" i="165" s="1"/>
  <c r="J84" i="165" s="1"/>
  <c r="AC46" i="156"/>
  <c r="G9" i="155"/>
  <c r="V49" i="154"/>
  <c r="H73" i="156"/>
  <c r="X13" i="152"/>
  <c r="V9" i="155"/>
  <c r="E35" i="156"/>
  <c r="D82" i="156"/>
  <c r="M46" i="142"/>
  <c r="H36" i="143"/>
  <c r="C38" i="125"/>
  <c r="V39" i="156"/>
  <c r="Y59" i="157"/>
  <c r="Z59" i="157" s="1"/>
  <c r="AA59" i="157" s="1"/>
  <c r="E45" i="156"/>
  <c r="F45" i="156"/>
  <c r="G45" i="156" s="1"/>
  <c r="H45" i="156"/>
  <c r="AI45" i="156"/>
  <c r="V65" i="155"/>
  <c r="T65" i="155"/>
  <c r="U65" i="155"/>
  <c r="E26" i="156"/>
  <c r="F26" i="156" s="1"/>
  <c r="G26" i="156" s="1"/>
  <c r="H26" i="156" s="1"/>
  <c r="AI26" i="156"/>
  <c r="M22" i="156"/>
  <c r="AH46" i="157"/>
  <c r="O45" i="157"/>
  <c r="P45" i="157" s="1"/>
  <c r="K6" i="157"/>
  <c r="Q40" i="152"/>
  <c r="U40" i="152" s="1"/>
  <c r="Y40" i="152" s="1"/>
  <c r="P41" i="157"/>
  <c r="W24" i="157"/>
  <c r="W25" i="157"/>
  <c r="Z25" i="157" s="1"/>
  <c r="AA25" i="157" s="1"/>
  <c r="Q36" i="152"/>
  <c r="V16" i="155"/>
  <c r="E45" i="157"/>
  <c r="F45" i="157"/>
  <c r="G45" i="157" s="1"/>
  <c r="H45" i="157" s="1"/>
  <c r="AI45" i="157"/>
  <c r="N56" i="154"/>
  <c r="AC24" i="157"/>
  <c r="Y58" i="156"/>
  <c r="Z58" i="156" s="1"/>
  <c r="AH31" i="156"/>
  <c r="N42" i="154"/>
  <c r="K42" i="154"/>
  <c r="W8" i="154"/>
  <c r="P60" i="155"/>
  <c r="P56" i="155"/>
  <c r="U56" i="155" s="1"/>
  <c r="M48" i="155"/>
  <c r="N48" i="155" s="1"/>
  <c r="T48" i="155" s="1"/>
  <c r="U48" i="155" s="1"/>
  <c r="K48" i="155"/>
  <c r="P10" i="155"/>
  <c r="K10" i="155"/>
  <c r="AC34" i="156"/>
  <c r="V34" i="156"/>
  <c r="AH43" i="156"/>
  <c r="E43" i="156" s="1"/>
  <c r="F43" i="156" s="1"/>
  <c r="G43" i="156" s="1"/>
  <c r="H43" i="156" s="1"/>
  <c r="M21" i="154"/>
  <c r="V8" i="154"/>
  <c r="Y66" i="155"/>
  <c r="Z66" i="155"/>
  <c r="AA66" i="155" s="1"/>
  <c r="S15" i="156"/>
  <c r="Y15" i="156"/>
  <c r="V15" i="156"/>
  <c r="Q19" i="154"/>
  <c r="M19" i="154"/>
  <c r="N19" i="154" s="1"/>
  <c r="M52" i="154"/>
  <c r="M54" i="154" s="1"/>
  <c r="L54" i="154"/>
  <c r="K46" i="155"/>
  <c r="P46" i="155"/>
  <c r="V21" i="156"/>
  <c r="K21" i="156"/>
  <c r="S21" i="156" s="1"/>
  <c r="Y21" i="156" s="1"/>
  <c r="N53" i="152"/>
  <c r="O53" i="152" s="1"/>
  <c r="W19" i="41"/>
  <c r="F23" i="23"/>
  <c r="I23" i="23" s="1"/>
  <c r="L23" i="23"/>
  <c r="O23" i="23" s="1"/>
  <c r="R23" i="23" s="1"/>
  <c r="I25" i="41"/>
  <c r="J19" i="19"/>
  <c r="J20" i="19" s="1"/>
  <c r="H31" i="168"/>
  <c r="H44" i="168"/>
  <c r="H46" i="168"/>
  <c r="O64" i="168"/>
  <c r="H68" i="168"/>
  <c r="H7" i="168"/>
  <c r="L7" i="168"/>
  <c r="O10" i="168"/>
  <c r="H11" i="168"/>
  <c r="L11" i="168"/>
  <c r="H14" i="168"/>
  <c r="O17" i="168"/>
  <c r="H18" i="168"/>
  <c r="O21" i="168"/>
  <c r="H22" i="168"/>
  <c r="H28" i="168"/>
  <c r="L29" i="168"/>
  <c r="H37" i="168"/>
  <c r="L38" i="168"/>
  <c r="H39" i="168"/>
  <c r="H41" i="168"/>
  <c r="M41" i="168"/>
  <c r="P41" i="168" s="1"/>
  <c r="G50" i="168"/>
  <c r="G54" i="168"/>
  <c r="H52" i="168"/>
  <c r="O52" i="168"/>
  <c r="G74" i="168"/>
  <c r="H58" i="168"/>
  <c r="H62" i="168"/>
  <c r="H69" i="168"/>
  <c r="O9" i="168"/>
  <c r="O20" i="168"/>
  <c r="H49" i="168"/>
  <c r="P60" i="168"/>
  <c r="H70" i="168"/>
  <c r="P63" i="168"/>
  <c r="H67" i="168"/>
  <c r="H71" i="168"/>
  <c r="H74" i="168"/>
  <c r="H50" i="168"/>
  <c r="E12" i="15"/>
  <c r="E18" i="15"/>
  <c r="E24" i="15"/>
  <c r="E25" i="15"/>
  <c r="E22" i="15"/>
  <c r="E16" i="15"/>
  <c r="E17" i="15"/>
  <c r="E9" i="15"/>
  <c r="C22" i="60"/>
  <c r="C22" i="63" s="1"/>
  <c r="K88" i="25"/>
  <c r="K89" i="25"/>
  <c r="AH24" i="25"/>
  <c r="AI24" i="25"/>
  <c r="AK24" i="25"/>
  <c r="AN24" i="25" s="1"/>
  <c r="AO24" i="25" s="1"/>
  <c r="AQ24" i="25" s="1"/>
  <c r="AT24" i="25" s="1"/>
  <c r="AU24" i="25" s="1"/>
  <c r="AW24" i="25" s="1"/>
  <c r="AZ24" i="25" s="1"/>
  <c r="AF78" i="25"/>
  <c r="AF89" i="25" s="1"/>
  <c r="AK54" i="25"/>
  <c r="AN54" i="25" s="1"/>
  <c r="AO54" i="25"/>
  <c r="AQ54" i="25" s="1"/>
  <c r="AT54" i="25" s="1"/>
  <c r="AU54" i="25" s="1"/>
  <c r="AW54" i="25" s="1"/>
  <c r="AZ54" i="25" s="1"/>
  <c r="AH65" i="25"/>
  <c r="AI65" i="25" s="1"/>
  <c r="AK65" i="25" s="1"/>
  <c r="AN65" i="25" s="1"/>
  <c r="AO65" i="25" s="1"/>
  <c r="AQ65" i="25" s="1"/>
  <c r="AT65" i="25" s="1"/>
  <c r="AU65" i="25" s="1"/>
  <c r="AW65" i="25" s="1"/>
  <c r="AZ65" i="25" s="1"/>
  <c r="AK53" i="25"/>
  <c r="AN53" i="25"/>
  <c r="AO53" i="25"/>
  <c r="AQ53" i="25" s="1"/>
  <c r="AT53" i="25" s="1"/>
  <c r="AU53" i="25" s="1"/>
  <c r="AW53" i="25" s="1"/>
  <c r="AZ53" i="25" s="1"/>
  <c r="AH70" i="25"/>
  <c r="AI70" i="25" s="1"/>
  <c r="AK70" i="25" s="1"/>
  <c r="AN70" i="25" s="1"/>
  <c r="AO70" i="25" s="1"/>
  <c r="AQ70" i="25" s="1"/>
  <c r="AT70" i="25" s="1"/>
  <c r="AU70" i="25" s="1"/>
  <c r="AW70" i="25" s="1"/>
  <c r="AZ70" i="25" s="1"/>
  <c r="AH17" i="25"/>
  <c r="AI17" i="25" s="1"/>
  <c r="AK17" i="25"/>
  <c r="AN44" i="25"/>
  <c r="AF59" i="25"/>
  <c r="AF100" i="25" s="1"/>
  <c r="AH23" i="25"/>
  <c r="AI23" i="25" s="1"/>
  <c r="AK23" i="25" s="1"/>
  <c r="AN23" i="25"/>
  <c r="AN11" i="25"/>
  <c r="AO11" i="25" s="1"/>
  <c r="AQ11" i="25" s="1"/>
  <c r="AT11" i="25" s="1"/>
  <c r="AU11" i="25" s="1"/>
  <c r="AB62" i="25"/>
  <c r="AT32" i="25"/>
  <c r="AU32" i="25" s="1"/>
  <c r="AW32" i="25" s="1"/>
  <c r="AZ32" i="25" s="1"/>
  <c r="AH20" i="25"/>
  <c r="AI20" i="25" s="1"/>
  <c r="AK20" i="25"/>
  <c r="AN20" i="25" s="1"/>
  <c r="AO20" i="25" s="1"/>
  <c r="AQ20" i="25" s="1"/>
  <c r="AT20" i="25" s="1"/>
  <c r="AU20" i="25" s="1"/>
  <c r="AW20" i="25" s="1"/>
  <c r="AZ20" i="25" s="1"/>
  <c r="P61" i="25"/>
  <c r="P78" i="25" s="1"/>
  <c r="T89" i="25"/>
  <c r="T100" i="25"/>
  <c r="P80" i="25"/>
  <c r="P88" i="25" s="1"/>
  <c r="P89" i="25" s="1"/>
  <c r="I49" i="142" s="1"/>
  <c r="M88" i="25"/>
  <c r="M89" i="25"/>
  <c r="AI96" i="25"/>
  <c r="AK96" i="25"/>
  <c r="AN96" i="25"/>
  <c r="AO96" i="25"/>
  <c r="AQ96" i="25" s="1"/>
  <c r="AT96" i="25" s="1"/>
  <c r="AU96" i="25" s="1"/>
  <c r="AH99" i="25"/>
  <c r="AI80" i="25"/>
  <c r="AK93" i="25"/>
  <c r="AN93" i="25" s="1"/>
  <c r="AO93" i="25" s="1"/>
  <c r="AQ93" i="25" s="1"/>
  <c r="AT93" i="25" s="1"/>
  <c r="AU93" i="25" s="1"/>
  <c r="AG99" i="25"/>
  <c r="W34" i="25"/>
  <c r="W59" i="25" s="1"/>
  <c r="AH67" i="25"/>
  <c r="AI67" i="25"/>
  <c r="AK67" i="25" s="1"/>
  <c r="AN67" i="25"/>
  <c r="AO67" i="25" s="1"/>
  <c r="AQ67" i="25" s="1"/>
  <c r="AT67" i="25" s="1"/>
  <c r="AU67" i="25" s="1"/>
  <c r="AW67" i="25" s="1"/>
  <c r="AZ67" i="25" s="1"/>
  <c r="AB85" i="25"/>
  <c r="AH37" i="25"/>
  <c r="AI37" i="25" s="1"/>
  <c r="AK37" i="25" s="1"/>
  <c r="AN37" i="25" s="1"/>
  <c r="AO37" i="25" s="1"/>
  <c r="AQ37" i="25" s="1"/>
  <c r="AT37" i="25" s="1"/>
  <c r="AU37" i="25" s="1"/>
  <c r="AW37" i="25" s="1"/>
  <c r="AZ37" i="25" s="1"/>
  <c r="X88" i="25"/>
  <c r="X89" i="25" s="1"/>
  <c r="Y70" i="25"/>
  <c r="AB70" i="25"/>
  <c r="AT19" i="25"/>
  <c r="AU19" i="25" s="1"/>
  <c r="AW19" i="25" s="1"/>
  <c r="AZ19" i="25" s="1"/>
  <c r="Y34" i="25"/>
  <c r="AB34" i="25" s="1"/>
  <c r="AT18" i="25"/>
  <c r="AU18" i="25"/>
  <c r="AW18" i="25" s="1"/>
  <c r="AZ18" i="25" s="1"/>
  <c r="AG88" i="25"/>
  <c r="K17" i="142"/>
  <c r="W78" i="25"/>
  <c r="W89" i="25" s="1"/>
  <c r="K54" i="142"/>
  <c r="AG78" i="25"/>
  <c r="Z78" i="25"/>
  <c r="Y81" i="25"/>
  <c r="AB81" i="25"/>
  <c r="K59" i="25"/>
  <c r="K100" i="25" s="1"/>
  <c r="AD59" i="25"/>
  <c r="AD100" i="25"/>
  <c r="AN46" i="25"/>
  <c r="AO46" i="25"/>
  <c r="AQ46" i="25" s="1"/>
  <c r="AT46" i="25" s="1"/>
  <c r="AU46" i="25"/>
  <c r="AW46" i="25" s="1"/>
  <c r="AZ46" i="25" s="1"/>
  <c r="AT38" i="25"/>
  <c r="AU38" i="25"/>
  <c r="AW38" i="25"/>
  <c r="AZ38" i="25" s="1"/>
  <c r="AU30" i="25"/>
  <c r="AW30" i="25" s="1"/>
  <c r="AZ30" i="25" s="1"/>
  <c r="AN42" i="25"/>
  <c r="AO42" i="25"/>
  <c r="AQ42" i="25" s="1"/>
  <c r="AM42" i="25"/>
  <c r="AT31" i="25"/>
  <c r="AU31" i="25"/>
  <c r="AW31" i="25" s="1"/>
  <c r="AZ31" i="25" s="1"/>
  <c r="AT25" i="25"/>
  <c r="AU25" i="25"/>
  <c r="AW25" i="25" s="1"/>
  <c r="AZ25" i="25" s="1"/>
  <c r="AT36" i="25"/>
  <c r="AU36" i="25"/>
  <c r="AW36" i="25" s="1"/>
  <c r="AZ36" i="25" s="1"/>
  <c r="AT21" i="25"/>
  <c r="AU21" i="25"/>
  <c r="AW21" i="25" s="1"/>
  <c r="AZ21" i="25" s="1"/>
  <c r="V10" i="25"/>
  <c r="J15" i="142"/>
  <c r="AE71" i="25"/>
  <c r="AD78" i="25"/>
  <c r="AD89" i="25"/>
  <c r="Q33" i="25"/>
  <c r="S33" i="25" s="1"/>
  <c r="V33" i="25" s="1"/>
  <c r="J17" i="142" s="1"/>
  <c r="I17" i="142"/>
  <c r="AT28" i="25"/>
  <c r="AU28" i="25" s="1"/>
  <c r="AW28" i="25" s="1"/>
  <c r="AZ28" i="25"/>
  <c r="AT27" i="25"/>
  <c r="AU27" i="25" s="1"/>
  <c r="AW27" i="25"/>
  <c r="AZ27" i="25" s="1"/>
  <c r="AM43" i="25"/>
  <c r="AN43" i="25"/>
  <c r="P59" i="25"/>
  <c r="P100" i="25" s="1"/>
  <c r="I15" i="142"/>
  <c r="AT26" i="25"/>
  <c r="AU26" i="25" s="1"/>
  <c r="AW26" i="25" s="1"/>
  <c r="AZ26" i="25"/>
  <c r="AH62" i="25"/>
  <c r="AI62" i="25" s="1"/>
  <c r="AK62" i="25" s="1"/>
  <c r="AN62" i="25" s="1"/>
  <c r="AO62" i="25" s="1"/>
  <c r="AQ62" i="25" s="1"/>
  <c r="AT62" i="25" s="1"/>
  <c r="AU62" i="25" s="1"/>
  <c r="AW62" i="25" s="1"/>
  <c r="AZ62" i="25" s="1"/>
  <c r="AM45" i="25"/>
  <c r="AN45" i="25"/>
  <c r="AO45" i="25" s="1"/>
  <c r="AQ45" i="25" s="1"/>
  <c r="AT45" i="25" s="1"/>
  <c r="AU45" i="25" s="1"/>
  <c r="AW45" i="25" s="1"/>
  <c r="AZ45" i="25" s="1"/>
  <c r="M59" i="25"/>
  <c r="AT35" i="25"/>
  <c r="AU35" i="25"/>
  <c r="AW35" i="25" s="1"/>
  <c r="AZ35" i="25" s="1"/>
  <c r="AG59" i="25"/>
  <c r="Y61" i="25"/>
  <c r="X78" i="25"/>
  <c r="AN47" i="25"/>
  <c r="AO47" i="25" s="1"/>
  <c r="AQ47" i="25" s="1"/>
  <c r="AT47" i="25"/>
  <c r="AU47" i="25" s="1"/>
  <c r="AW47" i="25" s="1"/>
  <c r="AZ47" i="25" s="1"/>
  <c r="AB80" i="25"/>
  <c r="AB88" i="25" s="1"/>
  <c r="Z88" i="25"/>
  <c r="AA99" i="25"/>
  <c r="AA100" i="25" s="1"/>
  <c r="C28" i="60"/>
  <c r="C27" i="63" s="1"/>
  <c r="O99" i="25"/>
  <c r="C38" i="63"/>
  <c r="I10" i="39"/>
  <c r="L10" i="39" s="1"/>
  <c r="W21" i="41"/>
  <c r="M100" i="25"/>
  <c r="AM59" i="25"/>
  <c r="AG89" i="25"/>
  <c r="AO43" i="25"/>
  <c r="AQ43" i="25" s="1"/>
  <c r="AS43" i="25" s="1"/>
  <c r="AH71" i="25"/>
  <c r="AI71" i="25" s="1"/>
  <c r="AK71" i="25"/>
  <c r="AN71" i="25" s="1"/>
  <c r="AO71" i="25"/>
  <c r="AQ71" i="25" s="1"/>
  <c r="AT71" i="25" s="1"/>
  <c r="AU71" i="25" s="1"/>
  <c r="AW71" i="25" s="1"/>
  <c r="AZ71" i="25" s="1"/>
  <c r="AE78" i="25"/>
  <c r="AE89" i="25"/>
  <c r="AW11" i="25"/>
  <c r="AZ11" i="25" s="1"/>
  <c r="V13" i="41"/>
  <c r="V16" i="41"/>
  <c r="V17" i="41"/>
  <c r="V18" i="41"/>
  <c r="V15" i="41"/>
  <c r="X62" i="165"/>
  <c r="L49" i="168"/>
  <c r="P35" i="168"/>
  <c r="I12" i="168"/>
  <c r="O12" i="168" s="1"/>
  <c r="L9" i="168"/>
  <c r="L10" i="168"/>
  <c r="L17" i="168"/>
  <c r="M45" i="168"/>
  <c r="P45" i="168" s="1"/>
  <c r="N45" i="168"/>
  <c r="L48" i="168"/>
  <c r="L18" i="168"/>
  <c r="L21" i="168"/>
  <c r="M44" i="168"/>
  <c r="N44" i="168"/>
  <c r="M16" i="168"/>
  <c r="P16" i="168"/>
  <c r="O27" i="168"/>
  <c r="L23" i="168"/>
  <c r="L37" i="168"/>
  <c r="O44" i="168"/>
  <c r="M52" i="168"/>
  <c r="P52" i="168"/>
  <c r="M9" i="168"/>
  <c r="N9" i="168" s="1"/>
  <c r="L47" i="168"/>
  <c r="M47" i="168"/>
  <c r="M57" i="168"/>
  <c r="P57" i="168" s="1"/>
  <c r="L8" i="168"/>
  <c r="M17" i="168"/>
  <c r="P17" i="168"/>
  <c r="M20" i="168"/>
  <c r="L15" i="168"/>
  <c r="AA36" i="165"/>
  <c r="Z56" i="165"/>
  <c r="AA56" i="165" s="1"/>
  <c r="AA55" i="165"/>
  <c r="R56" i="165"/>
  <c r="S56" i="165"/>
  <c r="AA11" i="165"/>
  <c r="N101" i="151"/>
  <c r="O101" i="151"/>
  <c r="M105" i="151"/>
  <c r="N105" i="151"/>
  <c r="O105" i="151" s="1"/>
  <c r="K71" i="151"/>
  <c r="M66" i="151"/>
  <c r="E147" i="151"/>
  <c r="E145" i="151"/>
  <c r="O103" i="151"/>
  <c r="N60" i="151"/>
  <c r="O60" i="151"/>
  <c r="W12" i="41"/>
  <c r="M9" i="37"/>
  <c r="H35" i="165"/>
  <c r="H62" i="165" s="1"/>
  <c r="N16" i="168"/>
  <c r="N52" i="168"/>
  <c r="N54" i="168"/>
  <c r="E144" i="151"/>
  <c r="I11" i="43"/>
  <c r="J11" i="43"/>
  <c r="O12" i="37"/>
  <c r="Q12" i="37"/>
  <c r="S25" i="39"/>
  <c r="I15" i="43" s="1"/>
  <c r="O17" i="29"/>
  <c r="G32" i="60"/>
  <c r="G34" i="60" s="1"/>
  <c r="G28" i="63" s="1"/>
  <c r="N17" i="29"/>
  <c r="O16" i="37"/>
  <c r="T28" i="23"/>
  <c r="V25" i="39"/>
  <c r="V28" i="39"/>
  <c r="Q16" i="37"/>
  <c r="Q9" i="37" s="1"/>
  <c r="W28" i="23"/>
  <c r="W29" i="23" s="1"/>
  <c r="Z35" i="165"/>
  <c r="AA35" i="165"/>
  <c r="R35" i="165"/>
  <c r="S35" i="165" s="1"/>
  <c r="D16" i="126"/>
  <c r="W22" i="41"/>
  <c r="W20" i="41"/>
  <c r="P29" i="168"/>
  <c r="N18" i="168"/>
  <c r="N68" i="168"/>
  <c r="P76" i="168"/>
  <c r="N64" i="168"/>
  <c r="P64" i="168"/>
  <c r="O14" i="168"/>
  <c r="K54" i="168"/>
  <c r="M39" i="168"/>
  <c r="P39" i="168" s="1"/>
  <c r="L40" i="168"/>
  <c r="L50" i="168" s="1"/>
  <c r="O37" i="168"/>
  <c r="N77" i="168"/>
  <c r="R27" i="23"/>
  <c r="W23" i="41"/>
  <c r="V21" i="41"/>
  <c r="G12" i="60"/>
  <c r="G10" i="63"/>
  <c r="F10" i="63"/>
  <c r="Z62" i="165"/>
  <c r="AA62" i="165" s="1"/>
  <c r="G9" i="63"/>
  <c r="G11" i="63" s="1"/>
  <c r="F8" i="63"/>
  <c r="F9" i="63"/>
  <c r="F14" i="60"/>
  <c r="I35" i="165"/>
  <c r="I62" i="165"/>
  <c r="K62" i="165"/>
  <c r="D10" i="63"/>
  <c r="D11" i="63" s="1"/>
  <c r="D14" i="60"/>
  <c r="H42" i="143"/>
  <c r="P70" i="168"/>
  <c r="P9" i="168"/>
  <c r="O57" i="168"/>
  <c r="M10" i="168"/>
  <c r="P10" i="168"/>
  <c r="L46" i="168"/>
  <c r="P46" i="168"/>
  <c r="P44" i="168"/>
  <c r="I50" i="168"/>
  <c r="O50" i="168" s="1"/>
  <c r="L14" i="168"/>
  <c r="L35" i="168"/>
  <c r="J50" i="168"/>
  <c r="AO39" i="25"/>
  <c r="V14" i="41"/>
  <c r="W30" i="41"/>
  <c r="Q29" i="23"/>
  <c r="H25" i="143" s="1"/>
  <c r="H27" i="143" s="1"/>
  <c r="W11" i="41"/>
  <c r="V11" i="41"/>
  <c r="V22" i="41"/>
  <c r="N10" i="168"/>
  <c r="AQ39" i="25"/>
  <c r="AT39" i="25" s="1"/>
  <c r="AU39" i="25" s="1"/>
  <c r="AW39" i="25" s="1"/>
  <c r="AZ39" i="25" s="1"/>
  <c r="AS101" i="25"/>
  <c r="AV100" i="25"/>
  <c r="K11" i="142"/>
  <c r="K13" i="142"/>
  <c r="AE59" i="25"/>
  <c r="AH29" i="25"/>
  <c r="AB39" i="25"/>
  <c r="AB59" i="25"/>
  <c r="Y59" i="25"/>
  <c r="Y100" i="25" s="1"/>
  <c r="AB65" i="25"/>
  <c r="I22" i="39"/>
  <c r="L22" i="39" s="1"/>
  <c r="O22" i="39" s="1"/>
  <c r="R22" i="39" s="1"/>
  <c r="Y88" i="25"/>
  <c r="AB83" i="25"/>
  <c r="J11" i="41"/>
  <c r="L11" i="41" s="1"/>
  <c r="F21" i="39"/>
  <c r="I21" i="39"/>
  <c r="L21" i="39" s="1"/>
  <c r="O21" i="39" s="1"/>
  <c r="R21" i="39" s="1"/>
  <c r="AB67" i="25"/>
  <c r="Y28" i="41"/>
  <c r="V19" i="41"/>
  <c r="V23" i="41"/>
  <c r="F20" i="21"/>
  <c r="E32" i="21"/>
  <c r="E32" i="60"/>
  <c r="E34" i="60" s="1"/>
  <c r="E28" i="63"/>
  <c r="V20" i="41"/>
  <c r="Q25" i="39"/>
  <c r="R25" i="23"/>
  <c r="P25" i="39"/>
  <c r="S10" i="39" s="1"/>
  <c r="Y10" i="41" s="1"/>
  <c r="W14" i="41"/>
  <c r="P29" i="23"/>
  <c r="R18" i="23"/>
  <c r="Y65" i="157"/>
  <c r="Z65" i="157" s="1"/>
  <c r="AA65" i="157" s="1"/>
  <c r="Y49" i="155"/>
  <c r="Z49" i="155" s="1"/>
  <c r="Y48" i="155"/>
  <c r="Z48" i="155" s="1"/>
  <c r="AA48" i="155" s="1"/>
  <c r="N43" i="157"/>
  <c r="Z17" i="157"/>
  <c r="K22" i="156"/>
  <c r="S22" i="156"/>
  <c r="Y22" i="156" s="1"/>
  <c r="T22" i="156"/>
  <c r="U22" i="156"/>
  <c r="Q13" i="152"/>
  <c r="R13" i="152" s="1"/>
  <c r="S13" i="152" s="1"/>
  <c r="U13" i="152"/>
  <c r="Y13" i="152" s="1"/>
  <c r="P8" i="156"/>
  <c r="L35" i="156"/>
  <c r="I51" i="156"/>
  <c r="P63" i="156"/>
  <c r="V63" i="156" s="1"/>
  <c r="F47" i="156"/>
  <c r="G47" i="156" s="1"/>
  <c r="H47" i="156" s="1"/>
  <c r="K23" i="154"/>
  <c r="S23" i="154" s="1"/>
  <c r="N46" i="156"/>
  <c r="I75" i="156"/>
  <c r="E49" i="157"/>
  <c r="F49" i="157"/>
  <c r="G49" i="157"/>
  <c r="H49" i="157" s="1"/>
  <c r="AI49" i="157"/>
  <c r="T18" i="156"/>
  <c r="U18" i="156"/>
  <c r="Y18" i="156"/>
  <c r="V22" i="156"/>
  <c r="AC26" i="157"/>
  <c r="V26" i="157"/>
  <c r="Q18" i="152"/>
  <c r="U18" i="152" s="1"/>
  <c r="Y18" i="152" s="1"/>
  <c r="N18" i="152"/>
  <c r="O18" i="152" s="1"/>
  <c r="T72" i="154"/>
  <c r="Z72" i="154"/>
  <c r="Q9" i="154"/>
  <c r="J13" i="154"/>
  <c r="J75" i="154" s="1"/>
  <c r="M9" i="154"/>
  <c r="N9" i="154"/>
  <c r="V36" i="155"/>
  <c r="AA36" i="155" s="1"/>
  <c r="N36" i="155"/>
  <c r="Q33" i="155"/>
  <c r="M33" i="155"/>
  <c r="N33" i="155" s="1"/>
  <c r="M23" i="155"/>
  <c r="N23" i="155" s="1"/>
  <c r="Q23" i="155"/>
  <c r="J37" i="155"/>
  <c r="J85" i="155" s="1"/>
  <c r="I37" i="155"/>
  <c r="P22" i="155"/>
  <c r="V22" i="155" s="1"/>
  <c r="M16" i="155"/>
  <c r="N16" i="155"/>
  <c r="K16" i="155"/>
  <c r="S16" i="155" s="1"/>
  <c r="L37" i="155"/>
  <c r="K37" i="155" s="1"/>
  <c r="K15" i="155"/>
  <c r="S15" i="155" s="1"/>
  <c r="Y15" i="155" s="1"/>
  <c r="M15" i="155"/>
  <c r="N15" i="155" s="1"/>
  <c r="Y11" i="155"/>
  <c r="Z11" i="155" s="1"/>
  <c r="L13" i="155"/>
  <c r="M11" i="155"/>
  <c r="K11" i="155"/>
  <c r="Q9" i="155"/>
  <c r="W9" i="155"/>
  <c r="Z9" i="155"/>
  <c r="AA9" i="155" s="1"/>
  <c r="P8" i="155"/>
  <c r="V8" i="155" s="1"/>
  <c r="I13" i="155"/>
  <c r="K8" i="155"/>
  <c r="W7" i="155"/>
  <c r="M7" i="155"/>
  <c r="N7" i="155"/>
  <c r="K44" i="156"/>
  <c r="M44" i="156"/>
  <c r="N44" i="156" s="1"/>
  <c r="T44" i="156" s="1"/>
  <c r="P24" i="156"/>
  <c r="V24" i="156"/>
  <c r="E21" i="156"/>
  <c r="F21" i="156"/>
  <c r="G21" i="156" s="1"/>
  <c r="H21" i="156" s="1"/>
  <c r="AI21" i="156"/>
  <c r="V19" i="156"/>
  <c r="K19" i="156"/>
  <c r="S19" i="156" s="1"/>
  <c r="F67" i="157"/>
  <c r="C74" i="157"/>
  <c r="C75" i="157" s="1"/>
  <c r="M60" i="157"/>
  <c r="M75" i="157"/>
  <c r="N75" i="157" s="1"/>
  <c r="L75" i="157"/>
  <c r="T37" i="157"/>
  <c r="U37" i="157"/>
  <c r="Y37" i="157"/>
  <c r="Z37" i="157" s="1"/>
  <c r="AA37" i="157"/>
  <c r="K23" i="157"/>
  <c r="S23" i="157" s="1"/>
  <c r="M23" i="157"/>
  <c r="N23" i="157"/>
  <c r="K7" i="157"/>
  <c r="I13" i="157"/>
  <c r="C6" i="157"/>
  <c r="F6" i="157" s="1"/>
  <c r="M37" i="152"/>
  <c r="Q37" i="152"/>
  <c r="R37" i="152" s="1"/>
  <c r="S37" i="152" s="1"/>
  <c r="U37" i="152"/>
  <c r="Y37" i="152" s="1"/>
  <c r="K37" i="152"/>
  <c r="N37" i="152" s="1"/>
  <c r="O37" i="152"/>
  <c r="K15" i="152"/>
  <c r="M15" i="152"/>
  <c r="L16" i="142"/>
  <c r="L19" i="142" s="1"/>
  <c r="G53" i="143" s="1"/>
  <c r="G54" i="143" s="1"/>
  <c r="G62" i="143" s="1"/>
  <c r="AC41" i="157"/>
  <c r="K21" i="154"/>
  <c r="S21" i="154" s="1"/>
  <c r="T17" i="157"/>
  <c r="U17" i="157"/>
  <c r="I51" i="157"/>
  <c r="V54" i="157"/>
  <c r="AA54" i="157" s="1"/>
  <c r="S6" i="154"/>
  <c r="Y43" i="155"/>
  <c r="Z43" i="155" s="1"/>
  <c r="AA43" i="155" s="1"/>
  <c r="C51" i="156"/>
  <c r="E41" i="157"/>
  <c r="F41" i="157" s="1"/>
  <c r="G41" i="157"/>
  <c r="H41" i="157"/>
  <c r="AI41" i="157"/>
  <c r="M24" i="155"/>
  <c r="N24" i="155" s="1"/>
  <c r="P21" i="157"/>
  <c r="N8" i="156"/>
  <c r="N51" i="155"/>
  <c r="V16" i="154"/>
  <c r="AC30" i="157"/>
  <c r="V30" i="157"/>
  <c r="V17" i="155"/>
  <c r="V21" i="154"/>
  <c r="X21" i="154" s="1"/>
  <c r="T38" i="154"/>
  <c r="I13" i="154"/>
  <c r="N44" i="155"/>
  <c r="T44" i="155"/>
  <c r="U44" i="155" s="1"/>
  <c r="K43" i="155"/>
  <c r="L53" i="155"/>
  <c r="K42" i="155"/>
  <c r="P42" i="155"/>
  <c r="V39" i="155"/>
  <c r="K39" i="155"/>
  <c r="S39" i="155"/>
  <c r="AC27" i="156"/>
  <c r="V27" i="156"/>
  <c r="E11" i="156"/>
  <c r="F11" i="156"/>
  <c r="G11" i="156" s="1"/>
  <c r="AI11" i="156"/>
  <c r="V65" i="157"/>
  <c r="AC65" i="157"/>
  <c r="AH48" i="157"/>
  <c r="E48" i="157" s="1"/>
  <c r="F48" i="157" s="1"/>
  <c r="G48" i="157" s="1"/>
  <c r="H48" i="157" s="1"/>
  <c r="K25" i="157"/>
  <c r="M25" i="157"/>
  <c r="N25" i="157"/>
  <c r="AH16" i="157"/>
  <c r="W16" i="157"/>
  <c r="M16" i="157"/>
  <c r="N16" i="157"/>
  <c r="Q15" i="157"/>
  <c r="W15" i="157" s="1"/>
  <c r="J35" i="157"/>
  <c r="E11" i="157"/>
  <c r="F11" i="157"/>
  <c r="G11" i="157" s="1"/>
  <c r="O7" i="157"/>
  <c r="P7" i="157"/>
  <c r="AC7" i="157" s="1"/>
  <c r="V7" i="157"/>
  <c r="AN7" i="157"/>
  <c r="AO7" i="157" s="1"/>
  <c r="T9" i="155"/>
  <c r="U9" i="155" s="1"/>
  <c r="Y26" i="154"/>
  <c r="T26" i="154"/>
  <c r="U26" i="154"/>
  <c r="V20" i="154"/>
  <c r="S20" i="154"/>
  <c r="I65" i="154"/>
  <c r="P53" i="154"/>
  <c r="U53" i="154" s="1"/>
  <c r="K22" i="154"/>
  <c r="P19" i="154"/>
  <c r="S19" i="154" s="1"/>
  <c r="Y19" i="154"/>
  <c r="X19" i="154" s="1"/>
  <c r="Z19" i="154"/>
  <c r="AA19" i="154" s="1"/>
  <c r="V19" i="154"/>
  <c r="P18" i="154"/>
  <c r="K18" i="154"/>
  <c r="M8" i="154"/>
  <c r="N8" i="154" s="1"/>
  <c r="M60" i="155"/>
  <c r="L74" i="155"/>
  <c r="M52" i="155"/>
  <c r="K52" i="155"/>
  <c r="AC60" i="156"/>
  <c r="V60" i="156"/>
  <c r="AH46" i="156"/>
  <c r="E46" i="156" s="1"/>
  <c r="F46" i="156" s="1"/>
  <c r="G46" i="156" s="1"/>
  <c r="H46" i="156" s="1"/>
  <c r="M42" i="156"/>
  <c r="K42" i="156"/>
  <c r="AH33" i="156"/>
  <c r="AH27" i="156"/>
  <c r="E27" i="156"/>
  <c r="F27" i="156" s="1"/>
  <c r="G27" i="156"/>
  <c r="H27" i="156" s="1"/>
  <c r="P23" i="156"/>
  <c r="V23" i="156" s="1"/>
  <c r="K23" i="156"/>
  <c r="E22" i="156"/>
  <c r="F22" i="156" s="1"/>
  <c r="G22" i="156" s="1"/>
  <c r="H22" i="156" s="1"/>
  <c r="AI22" i="156"/>
  <c r="E19" i="156"/>
  <c r="F19" i="156"/>
  <c r="G19" i="156" s="1"/>
  <c r="H19" i="156"/>
  <c r="AI19" i="156"/>
  <c r="V17" i="156"/>
  <c r="P9" i="156"/>
  <c r="K9" i="156"/>
  <c r="S9" i="156"/>
  <c r="AH8" i="156"/>
  <c r="E8" i="156"/>
  <c r="F8" i="156"/>
  <c r="G8" i="156" s="1"/>
  <c r="H8" i="156" s="1"/>
  <c r="AI8" i="156"/>
  <c r="O44" i="157"/>
  <c r="P44" i="157"/>
  <c r="V44" i="157" s="1"/>
  <c r="G44" i="157"/>
  <c r="H44" i="157"/>
  <c r="K39" i="157"/>
  <c r="M39" i="157"/>
  <c r="AE37" i="157"/>
  <c r="C37" i="157"/>
  <c r="AI28" i="157"/>
  <c r="E28" i="157"/>
  <c r="F28" i="157"/>
  <c r="G28" i="157"/>
  <c r="H28" i="157" s="1"/>
  <c r="M18" i="157"/>
  <c r="N18" i="157" s="1"/>
  <c r="K18" i="157"/>
  <c r="S18" i="157"/>
  <c r="O11" i="157"/>
  <c r="AC11" i="157"/>
  <c r="AN11" i="157"/>
  <c r="AO11" i="157"/>
  <c r="Q9" i="157"/>
  <c r="M9" i="157"/>
  <c r="AE8" i="157"/>
  <c r="AE13" i="157" s="1"/>
  <c r="C8" i="157"/>
  <c r="V40" i="157"/>
  <c r="N21" i="154"/>
  <c r="K43" i="157"/>
  <c r="T46" i="156"/>
  <c r="V41" i="154"/>
  <c r="Y41" i="154"/>
  <c r="Z41" i="154"/>
  <c r="U54" i="157"/>
  <c r="Y22" i="157"/>
  <c r="X22" i="157" s="1"/>
  <c r="I53" i="155"/>
  <c r="I85" i="155" s="1"/>
  <c r="K21" i="157"/>
  <c r="P61" i="154"/>
  <c r="Z81" i="155"/>
  <c r="N34" i="156"/>
  <c r="AI39" i="157"/>
  <c r="AC48" i="157"/>
  <c r="L51" i="156"/>
  <c r="L82" i="156" s="1"/>
  <c r="I13" i="156"/>
  <c r="Y37" i="156"/>
  <c r="Z37" i="156" s="1"/>
  <c r="AA37" i="156"/>
  <c r="T37" i="156"/>
  <c r="U37" i="156" s="1"/>
  <c r="N22" i="155"/>
  <c r="V64" i="154"/>
  <c r="T64" i="154"/>
  <c r="Y64" i="154" s="1"/>
  <c r="Z64" i="154" s="1"/>
  <c r="AA64" i="154" s="1"/>
  <c r="P22" i="154"/>
  <c r="N23" i="156"/>
  <c r="J13" i="157"/>
  <c r="J82" i="157" s="1"/>
  <c r="P43" i="154"/>
  <c r="V43" i="154" s="1"/>
  <c r="Q17" i="154"/>
  <c r="W17" i="154" s="1"/>
  <c r="M17" i="154"/>
  <c r="N17" i="154"/>
  <c r="K16" i="154"/>
  <c r="S16" i="154"/>
  <c r="M16" i="154"/>
  <c r="N16" i="154" s="1"/>
  <c r="M15" i="154"/>
  <c r="N15" i="154" s="1"/>
  <c r="K15" i="154"/>
  <c r="S15" i="154"/>
  <c r="K12" i="154"/>
  <c r="S12" i="154"/>
  <c r="V12" i="154"/>
  <c r="P77" i="155"/>
  <c r="T77" i="155" s="1"/>
  <c r="U77" i="155" s="1"/>
  <c r="V77" i="155"/>
  <c r="N77" i="155"/>
  <c r="Q6" i="155"/>
  <c r="Q13" i="155" s="1"/>
  <c r="M6" i="155"/>
  <c r="J13" i="155"/>
  <c r="AC58" i="156"/>
  <c r="V58" i="156"/>
  <c r="O50" i="156"/>
  <c r="P50" i="156" s="1"/>
  <c r="F50" i="156"/>
  <c r="G50" i="156"/>
  <c r="H50" i="156" s="1"/>
  <c r="O41" i="156"/>
  <c r="F41" i="156"/>
  <c r="G41" i="156" s="1"/>
  <c r="H41" i="156" s="1"/>
  <c r="AH30" i="156"/>
  <c r="K30" i="156"/>
  <c r="S30" i="156" s="1"/>
  <c r="Y30" i="156" s="1"/>
  <c r="T30" i="156"/>
  <c r="U30" i="156" s="1"/>
  <c r="M30" i="156"/>
  <c r="N30" i="156"/>
  <c r="M25" i="156"/>
  <c r="N25" i="156"/>
  <c r="K25" i="156"/>
  <c r="S25" i="156"/>
  <c r="AI23" i="156"/>
  <c r="E23" i="156"/>
  <c r="F23" i="156"/>
  <c r="G23" i="156"/>
  <c r="H23" i="156"/>
  <c r="M15" i="156"/>
  <c r="J35" i="156"/>
  <c r="E9" i="156"/>
  <c r="F9" i="156" s="1"/>
  <c r="G9" i="156" s="1"/>
  <c r="H9" i="156" s="1"/>
  <c r="AI9" i="156"/>
  <c r="AH7" i="156"/>
  <c r="M7" i="156"/>
  <c r="N7" i="156" s="1"/>
  <c r="M13" i="156"/>
  <c r="N13" i="156"/>
  <c r="J13" i="156"/>
  <c r="Q7" i="156"/>
  <c r="K6" i="156"/>
  <c r="P6" i="156"/>
  <c r="V6" i="156"/>
  <c r="Z78" i="157"/>
  <c r="V59" i="157"/>
  <c r="I55" i="157"/>
  <c r="P53" i="157"/>
  <c r="N53" i="157"/>
  <c r="K50" i="157"/>
  <c r="M50" i="157"/>
  <c r="E30" i="157"/>
  <c r="F30" i="157" s="1"/>
  <c r="G30" i="157" s="1"/>
  <c r="H30" i="157" s="1"/>
  <c r="AI30" i="157"/>
  <c r="S30" i="157"/>
  <c r="E24" i="157"/>
  <c r="F24" i="157"/>
  <c r="G24" i="157" s="1"/>
  <c r="H24" i="157" s="1"/>
  <c r="AI24" i="157"/>
  <c r="V11" i="157"/>
  <c r="K11" i="157"/>
  <c r="N6" i="156"/>
  <c r="S25" i="157"/>
  <c r="T25" i="157" s="1"/>
  <c r="U25" i="157" s="1"/>
  <c r="K40" i="154"/>
  <c r="L13" i="154"/>
  <c r="K44" i="155"/>
  <c r="S26" i="157"/>
  <c r="R25" i="152"/>
  <c r="S25" i="152" s="1"/>
  <c r="V25" i="152"/>
  <c r="W25" i="152"/>
  <c r="Z25" i="152" s="1"/>
  <c r="AA25" i="152" s="1"/>
  <c r="K22" i="155"/>
  <c r="S22" i="155" s="1"/>
  <c r="T22" i="155" s="1"/>
  <c r="K17" i="156"/>
  <c r="S17" i="156"/>
  <c r="F7" i="157"/>
  <c r="G7" i="157" s="1"/>
  <c r="H7" i="157" s="1"/>
  <c r="T40" i="157"/>
  <c r="N19" i="156"/>
  <c r="N48" i="152"/>
  <c r="O48" i="152"/>
  <c r="R48" i="152"/>
  <c r="S48" i="152" s="1"/>
  <c r="V48" i="152" s="1"/>
  <c r="W48" i="152" s="1"/>
  <c r="Z48" i="152"/>
  <c r="AA48" i="152" s="1"/>
  <c r="N12" i="154"/>
  <c r="K8" i="154"/>
  <c r="S8" i="154" s="1"/>
  <c r="T8" i="154" s="1"/>
  <c r="U8" i="154" s="1"/>
  <c r="K49" i="156"/>
  <c r="K42" i="157"/>
  <c r="N31" i="152"/>
  <c r="O31" i="152" s="1"/>
  <c r="R31" i="152" s="1"/>
  <c r="S31" i="152" s="1"/>
  <c r="V31" i="152" s="1"/>
  <c r="W31" i="152" s="1"/>
  <c r="Z31" i="152" s="1"/>
  <c r="AA31" i="152"/>
  <c r="AO23" i="25"/>
  <c r="AQ23" i="25" s="1"/>
  <c r="AT23" i="25"/>
  <c r="AU23" i="25" s="1"/>
  <c r="AW23" i="25" s="1"/>
  <c r="AZ23" i="25" s="1"/>
  <c r="AC44" i="157"/>
  <c r="AH59" i="25"/>
  <c r="X15" i="156"/>
  <c r="Z15" i="156"/>
  <c r="T45" i="157"/>
  <c r="AC8" i="156"/>
  <c r="V8" i="156"/>
  <c r="Y12" i="156"/>
  <c r="U12" i="156"/>
  <c r="T46" i="157"/>
  <c r="AC46" i="157"/>
  <c r="U63" i="157"/>
  <c r="Y63" i="157"/>
  <c r="Z63" i="157" s="1"/>
  <c r="AA63" i="157" s="1"/>
  <c r="W7" i="157"/>
  <c r="Q12" i="152"/>
  <c r="N12" i="152"/>
  <c r="P7" i="89"/>
  <c r="M11" i="142"/>
  <c r="M13" i="142" s="1"/>
  <c r="M84" i="151"/>
  <c r="K85" i="151"/>
  <c r="K62" i="151"/>
  <c r="N62" i="151" s="1"/>
  <c r="O62" i="151" s="1"/>
  <c r="G64" i="151"/>
  <c r="M45" i="151"/>
  <c r="M64" i="151"/>
  <c r="K45" i="151"/>
  <c r="N45" i="151" s="1"/>
  <c r="O45" i="151"/>
  <c r="H64" i="151"/>
  <c r="K44" i="151"/>
  <c r="M44" i="151"/>
  <c r="O43" i="151"/>
  <c r="F64" i="151"/>
  <c r="D140" i="151"/>
  <c r="L23" i="151"/>
  <c r="N23" i="151"/>
  <c r="O23" i="151" s="1"/>
  <c r="K23" i="151"/>
  <c r="G24" i="151"/>
  <c r="M22" i="151"/>
  <c r="N22" i="151" s="1"/>
  <c r="O22" i="151" s="1"/>
  <c r="K22" i="151"/>
  <c r="K9" i="151"/>
  <c r="I24" i="151"/>
  <c r="I38" i="151" s="1"/>
  <c r="I117" i="151" s="1"/>
  <c r="N58" i="154"/>
  <c r="I54" i="154"/>
  <c r="N54" i="154" s="1"/>
  <c r="P52" i="154"/>
  <c r="V52" i="154" s="1"/>
  <c r="N52" i="154"/>
  <c r="M49" i="154"/>
  <c r="K49" i="154"/>
  <c r="M48" i="154"/>
  <c r="K48" i="154"/>
  <c r="N47" i="154"/>
  <c r="T47" i="154" s="1"/>
  <c r="V46" i="154"/>
  <c r="K39" i="154"/>
  <c r="L50" i="154"/>
  <c r="N33" i="154"/>
  <c r="Y33" i="154"/>
  <c r="Z33" i="154" s="1"/>
  <c r="AA33" i="154" s="1"/>
  <c r="K32" i="154"/>
  <c r="S32" i="154"/>
  <c r="M32" i="154"/>
  <c r="N32" i="154"/>
  <c r="K30" i="154"/>
  <c r="M30" i="154"/>
  <c r="N30" i="154" s="1"/>
  <c r="L34" i="154"/>
  <c r="K25" i="154"/>
  <c r="P25" i="154"/>
  <c r="V25" i="154" s="1"/>
  <c r="N25" i="154"/>
  <c r="K24" i="154"/>
  <c r="I34" i="154"/>
  <c r="N39" i="156"/>
  <c r="T39" i="156" s="1"/>
  <c r="P16" i="156"/>
  <c r="V16" i="156"/>
  <c r="K16" i="156"/>
  <c r="I35" i="156"/>
  <c r="V42" i="157"/>
  <c r="T42" i="157"/>
  <c r="AC42" i="157"/>
  <c r="M44" i="152"/>
  <c r="O44" i="152"/>
  <c r="R44" i="152" s="1"/>
  <c r="S44" i="152" s="1"/>
  <c r="V44" i="152" s="1"/>
  <c r="W44" i="152" s="1"/>
  <c r="K44" i="152"/>
  <c r="N44" i="152" s="1"/>
  <c r="I54" i="152"/>
  <c r="I57" i="152" s="1"/>
  <c r="K57" i="152" s="1"/>
  <c r="F24" i="23"/>
  <c r="D29" i="23"/>
  <c r="Y65" i="155"/>
  <c r="Z65" i="155" s="1"/>
  <c r="AA65" i="155" s="1"/>
  <c r="S10" i="155"/>
  <c r="V10" i="155"/>
  <c r="AI29" i="25"/>
  <c r="AI59" i="25" s="1"/>
  <c r="K20" i="41"/>
  <c r="L20" i="41" s="1"/>
  <c r="O20" i="41" s="1"/>
  <c r="R20" i="41" s="1"/>
  <c r="U20" i="41" s="1"/>
  <c r="X20" i="41" s="1"/>
  <c r="AB61" i="25"/>
  <c r="AB78" i="25" s="1"/>
  <c r="AB89" i="25" s="1"/>
  <c r="AB100" i="25" s="1"/>
  <c r="Y78" i="25"/>
  <c r="W19" i="154"/>
  <c r="T44" i="157"/>
  <c r="U36" i="152"/>
  <c r="Y36" i="152" s="1"/>
  <c r="T25" i="156"/>
  <c r="U25" i="156"/>
  <c r="Y25" i="156"/>
  <c r="H16" i="156"/>
  <c r="G20" i="156"/>
  <c r="H20" i="156"/>
  <c r="V46" i="157"/>
  <c r="Y18" i="155"/>
  <c r="T51" i="155"/>
  <c r="V51" i="155"/>
  <c r="M39" i="154"/>
  <c r="G15" i="157"/>
  <c r="X21" i="156"/>
  <c r="N10" i="156"/>
  <c r="O47" i="157"/>
  <c r="F47" i="157"/>
  <c r="G47" i="157"/>
  <c r="H47" i="157" s="1"/>
  <c r="C51" i="157"/>
  <c r="F33" i="152"/>
  <c r="G19" i="152"/>
  <c r="N66" i="151"/>
  <c r="M71" i="151"/>
  <c r="Z100" i="25"/>
  <c r="AI43" i="156"/>
  <c r="T19" i="154"/>
  <c r="V56" i="155"/>
  <c r="AA56" i="155" s="1"/>
  <c r="E46" i="157"/>
  <c r="F46" i="157"/>
  <c r="G46" i="157" s="1"/>
  <c r="H46" i="157" s="1"/>
  <c r="AI46" i="157"/>
  <c r="U29" i="155"/>
  <c r="Y29" i="155"/>
  <c r="Z29" i="155" s="1"/>
  <c r="AA29" i="155" s="1"/>
  <c r="Y19" i="157"/>
  <c r="T19" i="157"/>
  <c r="U19" i="157" s="1"/>
  <c r="P24" i="154"/>
  <c r="V24" i="154" s="1"/>
  <c r="U76" i="155"/>
  <c r="Y76" i="155"/>
  <c r="Z76" i="155"/>
  <c r="AA76" i="155" s="1"/>
  <c r="V42" i="154"/>
  <c r="T42" i="154"/>
  <c r="T49" i="156"/>
  <c r="V49" i="156"/>
  <c r="E39" i="156"/>
  <c r="F39" i="156"/>
  <c r="G39" i="156" s="1"/>
  <c r="AI39" i="156"/>
  <c r="E17" i="157"/>
  <c r="F17" i="157" s="1"/>
  <c r="G17" i="157" s="1"/>
  <c r="H17" i="157" s="1"/>
  <c r="AI17" i="157"/>
  <c r="E33" i="157"/>
  <c r="F33" i="157" s="1"/>
  <c r="G33" i="157" s="1"/>
  <c r="H33" i="157"/>
  <c r="AI33" i="157"/>
  <c r="Z26" i="154"/>
  <c r="AA26" i="154"/>
  <c r="X26" i="154"/>
  <c r="F38" i="151"/>
  <c r="F98" i="151" s="1"/>
  <c r="F117" i="151" s="1"/>
  <c r="D138" i="151"/>
  <c r="D151" i="151" s="1"/>
  <c r="AC44" i="156"/>
  <c r="V44" i="156"/>
  <c r="V27" i="155"/>
  <c r="E40" i="157"/>
  <c r="F40" i="157" s="1"/>
  <c r="AI40" i="157"/>
  <c r="V32" i="154"/>
  <c r="E29" i="157"/>
  <c r="F29" i="157"/>
  <c r="G29" i="157" s="1"/>
  <c r="H29" i="157" s="1"/>
  <c r="AI29" i="157"/>
  <c r="N24" i="154"/>
  <c r="AI9" i="157"/>
  <c r="L46" i="151"/>
  <c r="K46" i="151"/>
  <c r="N46" i="151" s="1"/>
  <c r="O46" i="151" s="1"/>
  <c r="H24" i="151"/>
  <c r="M9" i="151"/>
  <c r="L55" i="156"/>
  <c r="M53" i="156"/>
  <c r="N67" i="154"/>
  <c r="P56" i="154"/>
  <c r="V56" i="154"/>
  <c r="M26" i="155"/>
  <c r="K26" i="155"/>
  <c r="S26" i="155"/>
  <c r="Y26" i="155" s="1"/>
  <c r="S24" i="155"/>
  <c r="K12" i="155"/>
  <c r="S12" i="155" s="1"/>
  <c r="N12" i="155"/>
  <c r="P12" i="155"/>
  <c r="V12" i="155"/>
  <c r="M27" i="157"/>
  <c r="K27" i="157"/>
  <c r="S27" i="157"/>
  <c r="T27" i="157" s="1"/>
  <c r="AH23" i="157"/>
  <c r="AI23" i="157" s="1"/>
  <c r="P44" i="154"/>
  <c r="K44" i="154"/>
  <c r="M20" i="154"/>
  <c r="N20" i="154"/>
  <c r="W20" i="154"/>
  <c r="N60" i="157"/>
  <c r="T60" i="157"/>
  <c r="U60" i="157" s="1"/>
  <c r="M27" i="155"/>
  <c r="N27" i="155"/>
  <c r="K27" i="155"/>
  <c r="S27" i="155"/>
  <c r="V26" i="156"/>
  <c r="F40" i="156"/>
  <c r="G40" i="156" s="1"/>
  <c r="H40" i="156" s="1"/>
  <c r="F42" i="157"/>
  <c r="G42" i="157"/>
  <c r="H42" i="157"/>
  <c r="N47" i="152"/>
  <c r="O47" i="152"/>
  <c r="R47" i="152" s="1"/>
  <c r="S47" i="152" s="1"/>
  <c r="V47" i="152" s="1"/>
  <c r="W47" i="152" s="1"/>
  <c r="Z47" i="152"/>
  <c r="AA47" i="152"/>
  <c r="N18" i="154"/>
  <c r="K48" i="156"/>
  <c r="AI42" i="156"/>
  <c r="E42" i="156"/>
  <c r="F42" i="156"/>
  <c r="G42" i="156" s="1"/>
  <c r="H42" i="156"/>
  <c r="K26" i="156"/>
  <c r="S26" i="156"/>
  <c r="AI53" i="157"/>
  <c r="O100" i="25"/>
  <c r="H15" i="43"/>
  <c r="S17" i="39"/>
  <c r="S14" i="39"/>
  <c r="S24" i="39"/>
  <c r="S12" i="39"/>
  <c r="V12" i="39"/>
  <c r="S13" i="39"/>
  <c r="V13" i="39" s="1"/>
  <c r="S16" i="39"/>
  <c r="S20" i="39"/>
  <c r="V20" i="39" s="1"/>
  <c r="S22" i="39"/>
  <c r="V28" i="41"/>
  <c r="S21" i="39"/>
  <c r="S11" i="39"/>
  <c r="S18" i="39"/>
  <c r="V18" i="39" s="1"/>
  <c r="AB18" i="41" s="1"/>
  <c r="S15" i="39"/>
  <c r="S23" i="39"/>
  <c r="V23" i="39" s="1"/>
  <c r="S19" i="39"/>
  <c r="T16" i="154"/>
  <c r="U16" i="154"/>
  <c r="Y16" i="154"/>
  <c r="Y8" i="154"/>
  <c r="Y17" i="156"/>
  <c r="P41" i="156"/>
  <c r="O51" i="156"/>
  <c r="Y12" i="154"/>
  <c r="X12" i="154" s="1"/>
  <c r="T12" i="154"/>
  <c r="U12" i="154" s="1"/>
  <c r="N52" i="155"/>
  <c r="T52" i="155"/>
  <c r="U52" i="155" s="1"/>
  <c r="Y52" i="155"/>
  <c r="Z52" i="155" s="1"/>
  <c r="AA52" i="155" s="1"/>
  <c r="L85" i="155"/>
  <c r="T26" i="157"/>
  <c r="U26" i="157"/>
  <c r="Y26" i="157"/>
  <c r="T53" i="157"/>
  <c r="T55" i="157" s="1"/>
  <c r="U55" i="157" s="1"/>
  <c r="V53" i="157"/>
  <c r="AC53" i="157"/>
  <c r="J82" i="156"/>
  <c r="AA41" i="154"/>
  <c r="N9" i="157"/>
  <c r="Y18" i="157"/>
  <c r="Z18" i="157" s="1"/>
  <c r="T18" i="157"/>
  <c r="U18" i="157" s="1"/>
  <c r="F37" i="157"/>
  <c r="G37" i="157"/>
  <c r="H37" i="157" s="1"/>
  <c r="AN37" i="157"/>
  <c r="AO37" i="157" s="1"/>
  <c r="AI27" i="156"/>
  <c r="S7" i="157"/>
  <c r="AI48" i="157"/>
  <c r="T39" i="155"/>
  <c r="U39" i="155" s="1"/>
  <c r="Y39" i="155"/>
  <c r="Z39" i="155"/>
  <c r="AA39" i="155"/>
  <c r="T21" i="154"/>
  <c r="U21" i="154" s="1"/>
  <c r="Y21" i="154"/>
  <c r="N15" i="152"/>
  <c r="O15" i="152" s="1"/>
  <c r="R15" i="152" s="1"/>
  <c r="S15" i="152" s="1"/>
  <c r="Q15" i="152"/>
  <c r="U15" i="152"/>
  <c r="AN6" i="157"/>
  <c r="AO6" i="157" s="1"/>
  <c r="O6" i="157"/>
  <c r="P6" i="157" s="1"/>
  <c r="AC24" i="156"/>
  <c r="S24" i="156"/>
  <c r="S8" i="155"/>
  <c r="T16" i="155"/>
  <c r="U16" i="155" s="1"/>
  <c r="Y16" i="155"/>
  <c r="Z18" i="156"/>
  <c r="AA18" i="156"/>
  <c r="Y23" i="154"/>
  <c r="X23" i="154"/>
  <c r="N55" i="157"/>
  <c r="S6" i="156"/>
  <c r="T6" i="156" s="1"/>
  <c r="U6" i="156" s="1"/>
  <c r="AC6" i="156"/>
  <c r="N6" i="155"/>
  <c r="M13" i="155"/>
  <c r="N13" i="155" s="1"/>
  <c r="U64" i="154"/>
  <c r="N42" i="156"/>
  <c r="M74" i="155"/>
  <c r="N74" i="155" s="1"/>
  <c r="N60" i="155"/>
  <c r="T60" i="155"/>
  <c r="Y25" i="157"/>
  <c r="U38" i="154"/>
  <c r="Y38" i="154"/>
  <c r="Z38" i="154"/>
  <c r="AA38" i="154" s="1"/>
  <c r="R18" i="152"/>
  <c r="S18" i="152" s="1"/>
  <c r="V18" i="152" s="1"/>
  <c r="W18" i="152" s="1"/>
  <c r="Z18" i="152" s="1"/>
  <c r="AA18" i="152" s="1"/>
  <c r="M13" i="154"/>
  <c r="N13" i="154" s="1"/>
  <c r="T30" i="157"/>
  <c r="U30" i="157"/>
  <c r="Y30" i="157"/>
  <c r="W6" i="155"/>
  <c r="Z6" i="155" s="1"/>
  <c r="AA6" i="155" s="1"/>
  <c r="T6" i="155"/>
  <c r="U6" i="155" s="1"/>
  <c r="AN8" i="157"/>
  <c r="AO8" i="157"/>
  <c r="F8" i="157"/>
  <c r="G8" i="157" s="1"/>
  <c r="H8" i="157" s="1"/>
  <c r="O8" i="157"/>
  <c r="P8" i="157"/>
  <c r="N39" i="157"/>
  <c r="T39" i="157" s="1"/>
  <c r="AC9" i="156"/>
  <c r="V9" i="156"/>
  <c r="AI46" i="156"/>
  <c r="Y20" i="154"/>
  <c r="Z20" i="154" s="1"/>
  <c r="AA20" i="154" s="1"/>
  <c r="T20" i="154"/>
  <c r="U20" i="154"/>
  <c r="Y44" i="155"/>
  <c r="Z44" i="155"/>
  <c r="AA44" i="155"/>
  <c r="AC21" i="157"/>
  <c r="V21" i="157"/>
  <c r="Q13" i="156"/>
  <c r="F74" i="157"/>
  <c r="G67" i="157"/>
  <c r="H67" i="157" s="1"/>
  <c r="G74" i="157"/>
  <c r="T15" i="155"/>
  <c r="U15" i="155" s="1"/>
  <c r="Q13" i="154"/>
  <c r="W13" i="154" s="1"/>
  <c r="W9" i="154"/>
  <c r="P55" i="157"/>
  <c r="AC55" i="157" s="1"/>
  <c r="AC63" i="156"/>
  <c r="T63" i="156"/>
  <c r="U63" i="156"/>
  <c r="V13" i="152"/>
  <c r="W13" i="152" s="1"/>
  <c r="Z13" i="152" s="1"/>
  <c r="AA13" i="152" s="1"/>
  <c r="N84" i="151"/>
  <c r="M85" i="151"/>
  <c r="N85" i="151" s="1"/>
  <c r="E142" i="151" s="1"/>
  <c r="AA15" i="156"/>
  <c r="N27" i="157"/>
  <c r="M35" i="157"/>
  <c r="S24" i="154"/>
  <c r="P47" i="157"/>
  <c r="AC47" i="157" s="1"/>
  <c r="H15" i="157"/>
  <c r="N39" i="154"/>
  <c r="T39" i="154" s="1"/>
  <c r="U51" i="155"/>
  <c r="Y51" i="155"/>
  <c r="Z51" i="155" s="1"/>
  <c r="AA51" i="155" s="1"/>
  <c r="T10" i="155"/>
  <c r="U10" i="155" s="1"/>
  <c r="Y10" i="155"/>
  <c r="Z10" i="155"/>
  <c r="AA10" i="155"/>
  <c r="Y42" i="157"/>
  <c r="Z42" i="157" s="1"/>
  <c r="AA42" i="157" s="1"/>
  <c r="U42" i="157"/>
  <c r="N48" i="154"/>
  <c r="T48" i="154"/>
  <c r="U48" i="154" s="1"/>
  <c r="N44" i="151"/>
  <c r="U12" i="152"/>
  <c r="Y46" i="157"/>
  <c r="Z46" i="157" s="1"/>
  <c r="U46" i="157"/>
  <c r="U45" i="157"/>
  <c r="Y45" i="157"/>
  <c r="Z45" i="157"/>
  <c r="T44" i="154"/>
  <c r="Y42" i="154"/>
  <c r="Z42" i="154"/>
  <c r="AA42" i="154" s="1"/>
  <c r="U42" i="154"/>
  <c r="X25" i="156"/>
  <c r="K54" i="152"/>
  <c r="V44" i="154"/>
  <c r="X26" i="155"/>
  <c r="T26" i="155"/>
  <c r="U26" i="155"/>
  <c r="N53" i="156"/>
  <c r="T53" i="156" s="1"/>
  <c r="U53" i="156" s="1"/>
  <c r="Y77" i="155"/>
  <c r="Z77" i="155" s="1"/>
  <c r="AA77" i="155" s="1"/>
  <c r="I89" i="155"/>
  <c r="U19" i="154"/>
  <c r="O66" i="151"/>
  <c r="D8" i="63"/>
  <c r="Y89" i="25"/>
  <c r="Q44" i="152"/>
  <c r="P54" i="154"/>
  <c r="V54" i="154" s="1"/>
  <c r="T52" i="154"/>
  <c r="U52" i="154"/>
  <c r="Q7" i="89"/>
  <c r="R7" i="89"/>
  <c r="Y22" i="155"/>
  <c r="X22" i="155" s="1"/>
  <c r="U27" i="157"/>
  <c r="Y27" i="157"/>
  <c r="Z27" i="157" s="1"/>
  <c r="O12" i="152"/>
  <c r="R12" i="152"/>
  <c r="S12" i="152" s="1"/>
  <c r="V12" i="152" s="1"/>
  <c r="N26" i="155"/>
  <c r="N9" i="151"/>
  <c r="Y49" i="156"/>
  <c r="Z49" i="156"/>
  <c r="AA49" i="156"/>
  <c r="U49" i="156"/>
  <c r="P13" i="155"/>
  <c r="V13" i="155" s="1"/>
  <c r="AC16" i="156"/>
  <c r="S16" i="156"/>
  <c r="S25" i="154"/>
  <c r="N49" i="154"/>
  <c r="T49" i="154"/>
  <c r="U49" i="154" s="1"/>
  <c r="I98" i="151"/>
  <c r="V14" i="39"/>
  <c r="V19" i="39"/>
  <c r="V22" i="39"/>
  <c r="V55" i="157"/>
  <c r="X16" i="155"/>
  <c r="W13" i="156"/>
  <c r="Y53" i="157"/>
  <c r="U53" i="157"/>
  <c r="Z12" i="154"/>
  <c r="AA12" i="154" s="1"/>
  <c r="X16" i="154"/>
  <c r="Z16" i="154"/>
  <c r="AA16" i="154" s="1"/>
  <c r="X25" i="157"/>
  <c r="X17" i="156"/>
  <c r="X30" i="157"/>
  <c r="Z30" i="157"/>
  <c r="AA30" i="157" s="1"/>
  <c r="Y8" i="155"/>
  <c r="T8" i="155"/>
  <c r="U8" i="155" s="1"/>
  <c r="AC41" i="156"/>
  <c r="V41" i="156"/>
  <c r="T41" i="156"/>
  <c r="U41" i="156" s="1"/>
  <c r="S8" i="157"/>
  <c r="Y8" i="157" s="1"/>
  <c r="Z8" i="157" s="1"/>
  <c r="AC8" i="157"/>
  <c r="V8" i="157"/>
  <c r="Y6" i="156"/>
  <c r="V6" i="157"/>
  <c r="AC6" i="157"/>
  <c r="S6" i="157"/>
  <c r="T6" i="157" s="1"/>
  <c r="U6" i="157" s="1"/>
  <c r="Z21" i="154"/>
  <c r="X8" i="154"/>
  <c r="Z8" i="154"/>
  <c r="AA8" i="154" s="1"/>
  <c r="T54" i="154"/>
  <c r="U44" i="152"/>
  <c r="AA27" i="157"/>
  <c r="X27" i="157"/>
  <c r="U22" i="155"/>
  <c r="AZ22" i="25"/>
  <c r="X10" i="155"/>
  <c r="Y25" i="154"/>
  <c r="T25" i="154"/>
  <c r="U25" i="154" s="1"/>
  <c r="Z26" i="155"/>
  <c r="AA26" i="155" s="1"/>
  <c r="U44" i="154"/>
  <c r="Y44" i="154"/>
  <c r="Z44" i="154" s="1"/>
  <c r="AA44" i="154" s="1"/>
  <c r="Y12" i="152"/>
  <c r="O44" i="151"/>
  <c r="H39" i="156"/>
  <c r="Y6" i="157"/>
  <c r="Y41" i="156"/>
  <c r="Z41" i="156" s="1"/>
  <c r="AA41" i="156" s="1"/>
  <c r="X8" i="155"/>
  <c r="Z8" i="155"/>
  <c r="AA8" i="155" s="1"/>
  <c r="Y44" i="152"/>
  <c r="W12" i="152"/>
  <c r="Z12" i="152" s="1"/>
  <c r="X25" i="154"/>
  <c r="Z25" i="154"/>
  <c r="AA25" i="154" s="1"/>
  <c r="D21" i="63"/>
  <c r="H73" i="143"/>
  <c r="O52" i="142"/>
  <c r="L88" i="167"/>
  <c r="V15" i="39"/>
  <c r="O20" i="142"/>
  <c r="E9" i="63"/>
  <c r="N20" i="142"/>
  <c r="I29" i="143" s="1"/>
  <c r="V11" i="39"/>
  <c r="V17" i="39"/>
  <c r="Z30" i="41"/>
  <c r="T29" i="23"/>
  <c r="I25" i="143" s="1"/>
  <c r="I27" i="143" s="1"/>
  <c r="I73" i="143"/>
  <c r="J73" i="143"/>
  <c r="P25" i="168"/>
  <c r="N25" i="168"/>
  <c r="N71" i="168"/>
  <c r="P71" i="168"/>
  <c r="P75" i="168"/>
  <c r="N75" i="168"/>
  <c r="N15" i="168"/>
  <c r="P15" i="168"/>
  <c r="N37" i="168"/>
  <c r="P37" i="168"/>
  <c r="M50" i="168"/>
  <c r="P6" i="168"/>
  <c r="N6" i="168"/>
  <c r="N21" i="168"/>
  <c r="P21" i="168"/>
  <c r="N24" i="168"/>
  <c r="P24" i="168"/>
  <c r="N40" i="168"/>
  <c r="P40" i="168"/>
  <c r="P58" i="168"/>
  <c r="N58" i="168"/>
  <c r="N59" i="168"/>
  <c r="P59" i="168"/>
  <c r="N65" i="168"/>
  <c r="P65" i="168"/>
  <c r="P7" i="168"/>
  <c r="N7" i="168"/>
  <c r="P19" i="168"/>
  <c r="N19" i="168"/>
  <c r="N31" i="168"/>
  <c r="P31" i="168"/>
  <c r="N38" i="168"/>
  <c r="P38" i="168"/>
  <c r="N43" i="168"/>
  <c r="P43" i="168"/>
  <c r="P49" i="168"/>
  <c r="N49" i="168"/>
  <c r="P62" i="168"/>
  <c r="N62" i="168"/>
  <c r="L43" i="168"/>
  <c r="K74" i="168"/>
  <c r="L25" i="168"/>
  <c r="M54" i="168"/>
  <c r="P54" i="168"/>
  <c r="N17" i="168"/>
  <c r="N76" i="168"/>
  <c r="N11" i="168"/>
  <c r="M14" i="168"/>
  <c r="O16" i="168"/>
  <c r="P48" i="168"/>
  <c r="N57" i="168"/>
  <c r="K33" i="168"/>
  <c r="K92" i="168" s="1"/>
  <c r="M74" i="168"/>
  <c r="P74" i="168" s="1"/>
  <c r="K50" i="168"/>
  <c r="I74" i="168"/>
  <c r="O74" i="168"/>
  <c r="N39" i="168"/>
  <c r="L19" i="168"/>
  <c r="P66" i="168"/>
  <c r="K12" i="168"/>
  <c r="L41" i="168"/>
  <c r="N41" i="168"/>
  <c r="L24" i="168"/>
  <c r="M22" i="168"/>
  <c r="L39" i="168"/>
  <c r="L31" i="168"/>
  <c r="N69" i="168"/>
  <c r="N23" i="168"/>
  <c r="L45" i="168"/>
  <c r="N67" i="168"/>
  <c r="L6" i="168"/>
  <c r="V24" i="39"/>
  <c r="V21" i="39"/>
  <c r="V16" i="39"/>
  <c r="N11" i="29"/>
  <c r="O11" i="29" s="1"/>
  <c r="N22" i="168"/>
  <c r="P22" i="168"/>
  <c r="L12" i="168"/>
  <c r="N14" i="168"/>
  <c r="N50" i="168"/>
  <c r="P50" i="168"/>
  <c r="E39" i="60"/>
  <c r="E40" i="63"/>
  <c r="G12" i="31"/>
  <c r="G16" i="31"/>
  <c r="G14" i="31"/>
  <c r="G15" i="31"/>
  <c r="G11" i="31"/>
  <c r="G8" i="31"/>
  <c r="P9" i="89"/>
  <c r="P10" i="89"/>
  <c r="P12" i="89" s="1"/>
  <c r="P14" i="89" s="1"/>
  <c r="P15" i="89" s="1"/>
  <c r="E49" i="60" s="1"/>
  <c r="E36" i="63" s="1"/>
  <c r="O8" i="89"/>
  <c r="O9" i="89"/>
  <c r="L12" i="142"/>
  <c r="L13" i="142" s="1"/>
  <c r="L21" i="142" s="1"/>
  <c r="M12" i="142"/>
  <c r="L11" i="142"/>
  <c r="O10" i="89"/>
  <c r="O12" i="89" s="1"/>
  <c r="O14" i="89"/>
  <c r="O15" i="89"/>
  <c r="D49" i="60" s="1"/>
  <c r="D36" i="63" s="1"/>
  <c r="Q9" i="89"/>
  <c r="Q10" i="89" s="1"/>
  <c r="Q12" i="89" s="1"/>
  <c r="N12" i="142"/>
  <c r="R9" i="89"/>
  <c r="R10" i="89" s="1"/>
  <c r="R12" i="89" s="1"/>
  <c r="Q8" i="89"/>
  <c r="R8" i="89"/>
  <c r="O11" i="142"/>
  <c r="T25" i="39"/>
  <c r="W25" i="39"/>
  <c r="N11" i="142"/>
  <c r="N13" i="142"/>
  <c r="Q14" i="89"/>
  <c r="Q15" i="89" s="1"/>
  <c r="F49" i="60" s="1"/>
  <c r="F36" i="63" s="1"/>
  <c r="T24" i="39"/>
  <c r="W24" i="39"/>
  <c r="T11" i="39"/>
  <c r="I40" i="13"/>
  <c r="G18" i="60"/>
  <c r="G38" i="63" s="1"/>
  <c r="H40" i="13"/>
  <c r="F18" i="60"/>
  <c r="S29" i="23"/>
  <c r="S19" i="23" s="1"/>
  <c r="V19" i="23" s="1"/>
  <c r="AC15" i="41" s="1"/>
  <c r="Z28" i="41"/>
  <c r="S25" i="23"/>
  <c r="T30" i="23"/>
  <c r="F26" i="60"/>
  <c r="F25" i="63"/>
  <c r="S21" i="23"/>
  <c r="U21" i="23" s="1"/>
  <c r="S18" i="23"/>
  <c r="V18" i="23"/>
  <c r="S15" i="23"/>
  <c r="Z11" i="41" s="1"/>
  <c r="V29" i="23"/>
  <c r="I18" i="143"/>
  <c r="I23" i="143" s="1"/>
  <c r="AM96" i="25"/>
  <c r="AM99" i="25" s="1"/>
  <c r="AM100" i="25" s="1"/>
  <c r="E28" i="60" s="1"/>
  <c r="E27" i="63" s="1"/>
  <c r="AM93" i="25"/>
  <c r="F29" i="21"/>
  <c r="F32" i="21"/>
  <c r="F35" i="21"/>
  <c r="AM97" i="25"/>
  <c r="G25" i="103"/>
  <c r="G19" i="15"/>
  <c r="G27" i="15"/>
  <c r="E22" i="60" s="1"/>
  <c r="E22" i="63" s="1"/>
  <c r="G35" i="21"/>
  <c r="F24" i="60" s="1"/>
  <c r="F24" i="63" s="1"/>
  <c r="H27" i="103"/>
  <c r="O19" i="19"/>
  <c r="H27" i="15"/>
  <c r="F22" i="60" s="1"/>
  <c r="F22" i="63" s="1"/>
  <c r="G29" i="21"/>
  <c r="H29" i="21" s="1"/>
  <c r="F23" i="60"/>
  <c r="F23" i="63"/>
  <c r="I27" i="15"/>
  <c r="G22" i="60" s="1"/>
  <c r="G22" i="63" s="1"/>
  <c r="H35" i="21"/>
  <c r="G24" i="60"/>
  <c r="G24" i="63" s="1"/>
  <c r="I27" i="103"/>
  <c r="I18" i="103"/>
  <c r="R19" i="19"/>
  <c r="G23" i="60"/>
  <c r="G23" i="63"/>
  <c r="H16" i="21"/>
  <c r="AS102" i="25"/>
  <c r="AY102" i="25"/>
  <c r="C17" i="125"/>
  <c r="E36" i="125"/>
  <c r="E38" i="125"/>
  <c r="E40" i="125"/>
  <c r="G40" i="125" s="1"/>
  <c r="C18" i="125"/>
  <c r="C19" i="125"/>
  <c r="F37" i="125"/>
  <c r="F36" i="125"/>
  <c r="F38" i="125" s="1"/>
  <c r="F40" i="125" s="1"/>
  <c r="AC14" i="41"/>
  <c r="U18" i="23"/>
  <c r="X18" i="23"/>
  <c r="Z14" i="41"/>
  <c r="Z15" i="41"/>
  <c r="F38" i="63"/>
  <c r="V15" i="23"/>
  <c r="S27" i="23"/>
  <c r="Q30" i="23"/>
  <c r="E26" i="60"/>
  <c r="E25" i="63" s="1"/>
  <c r="S16" i="23"/>
  <c r="S24" i="23"/>
  <c r="S22" i="23"/>
  <c r="S23" i="23"/>
  <c r="U23" i="23" s="1"/>
  <c r="S26" i="23"/>
  <c r="W28" i="41"/>
  <c r="S20" i="23"/>
  <c r="S28" i="23"/>
  <c r="V28" i="23" s="1"/>
  <c r="S17" i="23"/>
  <c r="V30" i="41"/>
  <c r="T14" i="39"/>
  <c r="W14" i="39" s="1"/>
  <c r="AB14" i="41" s="1"/>
  <c r="T15" i="39"/>
  <c r="Y15" i="41" s="1"/>
  <c r="T17" i="39"/>
  <c r="T23" i="39"/>
  <c r="T13" i="39"/>
  <c r="W13" i="39" s="1"/>
  <c r="AB13" i="41" s="1"/>
  <c r="T19" i="39"/>
  <c r="W19" i="39"/>
  <c r="X19" i="39" s="1"/>
  <c r="AB19" i="41"/>
  <c r="O9" i="37"/>
  <c r="O12" i="142"/>
  <c r="O13" i="142" s="1"/>
  <c r="R14" i="89"/>
  <c r="R15" i="89" s="1"/>
  <c r="G49" i="60" s="1"/>
  <c r="G36" i="63" s="1"/>
  <c r="N8" i="29"/>
  <c r="O8" i="29"/>
  <c r="F32" i="60"/>
  <c r="F34" i="60" s="1"/>
  <c r="F28" i="63" s="1"/>
  <c r="N12" i="29"/>
  <c r="N16" i="29" s="1"/>
  <c r="T22" i="39"/>
  <c r="W22" i="39"/>
  <c r="AB22" i="41" s="1"/>
  <c r="W25" i="41"/>
  <c r="W29" i="41"/>
  <c r="W31" i="41"/>
  <c r="R12" i="39"/>
  <c r="U12" i="39" s="1"/>
  <c r="X12" i="39" s="1"/>
  <c r="R23" i="39"/>
  <c r="V12" i="41"/>
  <c r="M25" i="41"/>
  <c r="O11" i="41"/>
  <c r="R11" i="41" s="1"/>
  <c r="F10" i="41"/>
  <c r="F25" i="41" s="1"/>
  <c r="F23" i="41"/>
  <c r="F21" i="41"/>
  <c r="F16" i="41"/>
  <c r="P25" i="41"/>
  <c r="F22" i="41"/>
  <c r="J25" i="41"/>
  <c r="L19" i="41"/>
  <c r="O19" i="41" s="1"/>
  <c r="R19" i="41" s="1"/>
  <c r="U19" i="41" s="1"/>
  <c r="X19" i="41" s="1"/>
  <c r="AA19" i="41" s="1"/>
  <c r="L21" i="41"/>
  <c r="O21" i="41"/>
  <c r="R21" i="41" s="1"/>
  <c r="U21" i="41" s="1"/>
  <c r="X21" i="41" s="1"/>
  <c r="F17" i="41"/>
  <c r="F13" i="41"/>
  <c r="Y22" i="41"/>
  <c r="Y19" i="41"/>
  <c r="O10" i="39"/>
  <c r="O14" i="41"/>
  <c r="R14" i="41" s="1"/>
  <c r="U14" i="41" s="1"/>
  <c r="X14" i="41" s="1"/>
  <c r="O15" i="39"/>
  <c r="R15" i="39" s="1"/>
  <c r="U15" i="39" s="1"/>
  <c r="X15" i="39" s="1"/>
  <c r="J19" i="23"/>
  <c r="J21" i="23"/>
  <c r="O17" i="39"/>
  <c r="R17" i="39" s="1"/>
  <c r="U17" i="39" s="1"/>
  <c r="X17" i="39" s="1"/>
  <c r="X10" i="41"/>
  <c r="E8" i="43"/>
  <c r="E14" i="43" s="1"/>
  <c r="I29" i="142"/>
  <c r="L29" i="142"/>
  <c r="H8" i="43"/>
  <c r="H14" i="43" s="1"/>
  <c r="H17" i="43" s="1"/>
  <c r="O17" i="23"/>
  <c r="I24" i="39"/>
  <c r="L24" i="39" s="1"/>
  <c r="I32" i="142"/>
  <c r="F25" i="39"/>
  <c r="I26" i="142"/>
  <c r="I11" i="39"/>
  <c r="L11" i="39"/>
  <c r="U19" i="39"/>
  <c r="U18" i="39"/>
  <c r="X18" i="39" s="1"/>
  <c r="J20" i="23"/>
  <c r="O16" i="39"/>
  <c r="R16" i="39" s="1"/>
  <c r="U16" i="39" s="1"/>
  <c r="X16" i="39" s="1"/>
  <c r="T20" i="39"/>
  <c r="T12" i="39"/>
  <c r="T21" i="39"/>
  <c r="T16" i="39"/>
  <c r="Y16" i="41" s="1"/>
  <c r="Y30" i="41"/>
  <c r="J15" i="43"/>
  <c r="T10" i="39"/>
  <c r="W10" i="39" s="1"/>
  <c r="T18" i="39"/>
  <c r="J29" i="143"/>
  <c r="V25" i="41"/>
  <c r="V29" i="41" s="1"/>
  <c r="V31" i="41"/>
  <c r="V20" i="23"/>
  <c r="AC16" i="41"/>
  <c r="Z16" i="41"/>
  <c r="U22" i="23"/>
  <c r="Z18" i="41"/>
  <c r="V22" i="23"/>
  <c r="AC18" i="41" s="1"/>
  <c r="U27" i="23"/>
  <c r="V27" i="23"/>
  <c r="Z23" i="41"/>
  <c r="W23" i="39"/>
  <c r="AB23" i="41"/>
  <c r="Z20" i="41"/>
  <c r="AA20" i="41" s="1"/>
  <c r="AD20" i="41" s="1"/>
  <c r="V24" i="23"/>
  <c r="Y17" i="41"/>
  <c r="W17" i="39"/>
  <c r="AB17" i="41"/>
  <c r="V17" i="23"/>
  <c r="AC13" i="41" s="1"/>
  <c r="Z13" i="41"/>
  <c r="V26" i="23"/>
  <c r="AC22" i="41" s="1"/>
  <c r="V16" i="23"/>
  <c r="AC12" i="41" s="1"/>
  <c r="W15" i="39"/>
  <c r="AB15" i="41"/>
  <c r="Z19" i="41"/>
  <c r="U22" i="39"/>
  <c r="X22" i="39" s="1"/>
  <c r="O24" i="39"/>
  <c r="J32" i="142"/>
  <c r="W16" i="39"/>
  <c r="Y18" i="41"/>
  <c r="W18" i="39"/>
  <c r="W21" i="39"/>
  <c r="AB21" i="41" s="1"/>
  <c r="R17" i="23"/>
  <c r="U17" i="23" s="1"/>
  <c r="X17" i="23" s="1"/>
  <c r="L21" i="23"/>
  <c r="O21" i="23"/>
  <c r="R21" i="23" s="1"/>
  <c r="Q17" i="41"/>
  <c r="R17" i="41" s="1"/>
  <c r="U17" i="41"/>
  <c r="X17" i="41" s="1"/>
  <c r="W12" i="39"/>
  <c r="AB12" i="41"/>
  <c r="Y12" i="41"/>
  <c r="AA10" i="41"/>
  <c r="R10" i="39"/>
  <c r="U10" i="39" s="1"/>
  <c r="W20" i="39"/>
  <c r="AB20" i="41"/>
  <c r="Y20" i="41"/>
  <c r="Q16" i="41"/>
  <c r="U20" i="39"/>
  <c r="X20" i="39" s="1"/>
  <c r="AC20" i="41"/>
  <c r="X27" i="23"/>
  <c r="AC23" i="41"/>
  <c r="X22" i="23"/>
  <c r="L32" i="142"/>
  <c r="R24" i="39"/>
  <c r="M32" i="142" s="1"/>
  <c r="AA8" i="157"/>
  <c r="L20" i="23"/>
  <c r="O20" i="23"/>
  <c r="R20" i="23"/>
  <c r="U20" i="23"/>
  <c r="X20" i="23" s="1"/>
  <c r="I25" i="39"/>
  <c r="J26" i="142"/>
  <c r="Y52" i="154"/>
  <c r="Y54" i="154" s="1"/>
  <c r="Z54" i="154" s="1"/>
  <c r="AA54" i="154" s="1"/>
  <c r="Y39" i="157"/>
  <c r="U39" i="157"/>
  <c r="X30" i="156"/>
  <c r="Z30" i="156"/>
  <c r="AA30" i="156"/>
  <c r="Y32" i="154"/>
  <c r="Z32" i="154" s="1"/>
  <c r="AA32" i="154" s="1"/>
  <c r="T32" i="154"/>
  <c r="U32" i="154"/>
  <c r="U60" i="155"/>
  <c r="Y60" i="155"/>
  <c r="E7" i="156"/>
  <c r="AI7" i="156"/>
  <c r="Y63" i="156"/>
  <c r="Z63" i="156" s="1"/>
  <c r="AA63" i="156" s="1"/>
  <c r="Q33" i="152"/>
  <c r="AA58" i="156"/>
  <c r="T56" i="154"/>
  <c r="W7" i="156"/>
  <c r="V13" i="154"/>
  <c r="W33" i="155"/>
  <c r="K16" i="142"/>
  <c r="K19" i="142" s="1"/>
  <c r="T15" i="156"/>
  <c r="U15" i="156" s="1"/>
  <c r="T41" i="157"/>
  <c r="V41" i="157"/>
  <c r="T27" i="156"/>
  <c r="U27" i="156"/>
  <c r="Y27" i="156"/>
  <c r="X27" i="156" s="1"/>
  <c r="V62" i="155"/>
  <c r="T62" i="155"/>
  <c r="T7" i="154"/>
  <c r="Y7" i="154"/>
  <c r="V53" i="154"/>
  <c r="AA53" i="154"/>
  <c r="V10" i="154"/>
  <c r="P13" i="154"/>
  <c r="Y25" i="155"/>
  <c r="T25" i="155"/>
  <c r="U25" i="155" s="1"/>
  <c r="E31" i="156"/>
  <c r="F31" i="156" s="1"/>
  <c r="G31" i="156" s="1"/>
  <c r="H31" i="156" s="1"/>
  <c r="AI31" i="156"/>
  <c r="T10" i="154"/>
  <c r="U10" i="154" s="1"/>
  <c r="V47" i="155"/>
  <c r="T47" i="155"/>
  <c r="Y72" i="156"/>
  <c r="Z72" i="156" s="1"/>
  <c r="AA72" i="156" s="1"/>
  <c r="M75" i="156"/>
  <c r="N75" i="156" s="1"/>
  <c r="S9" i="154"/>
  <c r="Y9" i="154" s="1"/>
  <c r="Z9" i="154" s="1"/>
  <c r="AA9" i="154" s="1"/>
  <c r="T21" i="155"/>
  <c r="U21" i="155" s="1"/>
  <c r="Y21" i="155"/>
  <c r="M15" i="151"/>
  <c r="K15" i="151"/>
  <c r="J24" i="151"/>
  <c r="J38" i="151" s="1"/>
  <c r="K17" i="155"/>
  <c r="S17" i="155"/>
  <c r="Y17" i="155" s="1"/>
  <c r="M17" i="155"/>
  <c r="W16" i="155"/>
  <c r="K25" i="41"/>
  <c r="AC17" i="157"/>
  <c r="AC16" i="157"/>
  <c r="L40" i="151"/>
  <c r="L64" i="151"/>
  <c r="W18" i="155"/>
  <c r="Z18" i="155" s="1"/>
  <c r="T18" i="155"/>
  <c r="U18" i="155" s="1"/>
  <c r="AE37" i="156"/>
  <c r="C37" i="156"/>
  <c r="V17" i="157"/>
  <c r="AA17" i="157"/>
  <c r="V7" i="154"/>
  <c r="K27" i="151"/>
  <c r="N49" i="151"/>
  <c r="P30" i="154"/>
  <c r="S30" i="154" s="1"/>
  <c r="Q23" i="154"/>
  <c r="M23" i="154"/>
  <c r="V73" i="155"/>
  <c r="AC53" i="156"/>
  <c r="V53" i="156"/>
  <c r="AI44" i="157"/>
  <c r="V72" i="157"/>
  <c r="N19" i="152"/>
  <c r="O19" i="152" s="1"/>
  <c r="R19" i="152" s="1"/>
  <c r="S19" i="152" s="1"/>
  <c r="T28" i="156"/>
  <c r="N13" i="151"/>
  <c r="O13" i="151" s="1"/>
  <c r="M46" i="154"/>
  <c r="K46" i="154"/>
  <c r="E48" i="156"/>
  <c r="F48" i="156" s="1"/>
  <c r="G48" i="156" s="1"/>
  <c r="AI48" i="156"/>
  <c r="T48" i="156"/>
  <c r="U48" i="156" s="1"/>
  <c r="V18" i="155"/>
  <c r="AA18" i="155" s="1"/>
  <c r="H28" i="142"/>
  <c r="H33" i="142"/>
  <c r="H57" i="142"/>
  <c r="C39" i="143"/>
  <c r="C45" i="143"/>
  <c r="C46" i="143"/>
  <c r="C48" i="143"/>
  <c r="C64" i="143" s="1"/>
  <c r="N97" i="151"/>
  <c r="AA34" i="156"/>
  <c r="N73" i="155"/>
  <c r="T73" i="155" s="1"/>
  <c r="U73" i="155" s="1"/>
  <c r="P45" i="155"/>
  <c r="T45" i="155" s="1"/>
  <c r="U45" i="155" s="1"/>
  <c r="V45" i="155"/>
  <c r="T60" i="156"/>
  <c r="Z79" i="157"/>
  <c r="K8" i="156"/>
  <c r="S8" i="156"/>
  <c r="T8" i="156" s="1"/>
  <c r="U8" i="156" s="1"/>
  <c r="N72" i="157"/>
  <c r="T72" i="157" s="1"/>
  <c r="U72" i="157" s="1"/>
  <c r="N40" i="152"/>
  <c r="AI43" i="157"/>
  <c r="P53" i="155"/>
  <c r="N46" i="154"/>
  <c r="T46" i="154" s="1"/>
  <c r="U46" i="154" s="1"/>
  <c r="Y60" i="156"/>
  <c r="Z60" i="156" s="1"/>
  <c r="U60" i="156"/>
  <c r="U28" i="156"/>
  <c r="Y28" i="156"/>
  <c r="Z28" i="156" s="1"/>
  <c r="N27" i="151"/>
  <c r="O27" i="151" s="1"/>
  <c r="Z16" i="155"/>
  <c r="AA10" i="154"/>
  <c r="X10" i="154"/>
  <c r="U41" i="157"/>
  <c r="Y41" i="157"/>
  <c r="Z41" i="157" s="1"/>
  <c r="AA41" i="157" s="1"/>
  <c r="N23" i="154"/>
  <c r="M34" i="154"/>
  <c r="Y73" i="155"/>
  <c r="Z73" i="155" s="1"/>
  <c r="AA73" i="155" s="1"/>
  <c r="N17" i="155"/>
  <c r="U56" i="154"/>
  <c r="Y56" i="154"/>
  <c r="X32" i="154"/>
  <c r="Y8" i="156"/>
  <c r="O49" i="151"/>
  <c r="Z25" i="155"/>
  <c r="AA25" i="155"/>
  <c r="X25" i="155"/>
  <c r="K21" i="142"/>
  <c r="Z60" i="155"/>
  <c r="Z39" i="157"/>
  <c r="Y48" i="156"/>
  <c r="Z48" i="156" s="1"/>
  <c r="AA48" i="156" s="1"/>
  <c r="W23" i="154"/>
  <c r="Z23" i="154" s="1"/>
  <c r="AA23" i="154" s="1"/>
  <c r="T23" i="154"/>
  <c r="T17" i="155"/>
  <c r="U17" i="155" s="1"/>
  <c r="X17" i="157"/>
  <c r="U47" i="155"/>
  <c r="Y47" i="155"/>
  <c r="Z47" i="155"/>
  <c r="AA47" i="155"/>
  <c r="Z7" i="154"/>
  <c r="AA7" i="154"/>
  <c r="X7" i="154"/>
  <c r="V30" i="154"/>
  <c r="F37" i="156"/>
  <c r="G37" i="156" s="1"/>
  <c r="H37" i="156" s="1"/>
  <c r="AN37" i="156"/>
  <c r="AO37" i="156" s="1"/>
  <c r="J98" i="151"/>
  <c r="J117" i="151"/>
  <c r="S13" i="154"/>
  <c r="T9" i="154"/>
  <c r="U9" i="154" s="1"/>
  <c r="U7" i="154"/>
  <c r="Z27" i="156"/>
  <c r="AA27" i="156" s="1"/>
  <c r="Z52" i="154"/>
  <c r="AA52" i="154" s="1"/>
  <c r="U23" i="154"/>
  <c r="AA60" i="156"/>
  <c r="V19" i="152"/>
  <c r="W19" i="152" s="1"/>
  <c r="Z19" i="152" s="1"/>
  <c r="AA19" i="152" s="1"/>
  <c r="Y45" i="155"/>
  <c r="Z45" i="155" s="1"/>
  <c r="AA45" i="155" s="1"/>
  <c r="AA16" i="155"/>
  <c r="Y13" i="154"/>
  <c r="Z56" i="154"/>
  <c r="AA56" i="154" s="1"/>
  <c r="H48" i="156"/>
  <c r="Z13" i="154"/>
  <c r="AA13" i="154" s="1"/>
  <c r="Y72" i="157" l="1"/>
  <c r="Z72" i="157" s="1"/>
  <c r="AA72" i="157" s="1"/>
  <c r="H59" i="142"/>
  <c r="X9" i="154"/>
  <c r="X8" i="156"/>
  <c r="Z8" i="156"/>
  <c r="AA8" i="156" s="1"/>
  <c r="Z21" i="155"/>
  <c r="AA21" i="155" s="1"/>
  <c r="X21" i="155"/>
  <c r="X10" i="39"/>
  <c r="T30" i="154"/>
  <c r="U30" i="154" s="1"/>
  <c r="Y30" i="154"/>
  <c r="N34" i="154"/>
  <c r="Y62" i="155"/>
  <c r="Z62" i="155" s="1"/>
  <c r="AA62" i="155" s="1"/>
  <c r="U62" i="155"/>
  <c r="U11" i="41"/>
  <c r="J25" i="143"/>
  <c r="J27" i="143" s="1"/>
  <c r="AA28" i="156"/>
  <c r="X17" i="155"/>
  <c r="Z17" i="155"/>
  <c r="AA17" i="155" s="1"/>
  <c r="AA12" i="152"/>
  <c r="G13" i="21"/>
  <c r="H13" i="21" s="1"/>
  <c r="G28" i="21"/>
  <c r="H28" i="21" s="1"/>
  <c r="E24" i="60"/>
  <c r="E24" i="63" s="1"/>
  <c r="G14" i="21"/>
  <c r="H14" i="21" s="1"/>
  <c r="G34" i="21"/>
  <c r="H34" i="21" s="1"/>
  <c r="G25" i="21"/>
  <c r="H25" i="21" s="1"/>
  <c r="G30" i="21"/>
  <c r="H30" i="21" s="1"/>
  <c r="G24" i="21"/>
  <c r="H24" i="21" s="1"/>
  <c r="G26" i="21"/>
  <c r="H26" i="21" s="1"/>
  <c r="G27" i="21"/>
  <c r="H27" i="21" s="1"/>
  <c r="Z6" i="157"/>
  <c r="AA6" i="157" s="1"/>
  <c r="X6" i="157"/>
  <c r="T26" i="156"/>
  <c r="U26" i="156" s="1"/>
  <c r="Y26" i="156"/>
  <c r="I75" i="154"/>
  <c r="K34" i="154"/>
  <c r="Y40" i="157"/>
  <c r="X18" i="155"/>
  <c r="U24" i="39"/>
  <c r="V23" i="23"/>
  <c r="V10" i="39"/>
  <c r="AB10" i="41" s="1"/>
  <c r="Z22" i="41"/>
  <c r="U26" i="23"/>
  <c r="U15" i="23"/>
  <c r="X15" i="23" s="1"/>
  <c r="G23" i="21"/>
  <c r="H23" i="21" s="1"/>
  <c r="W30" i="23"/>
  <c r="G26" i="60" s="1"/>
  <c r="G17" i="31"/>
  <c r="E35" i="60" s="1"/>
  <c r="E29" i="63" s="1"/>
  <c r="Y55" i="157"/>
  <c r="Z55" i="157" s="1"/>
  <c r="AA55" i="157" s="1"/>
  <c r="Z53" i="157"/>
  <c r="AA53" i="157" s="1"/>
  <c r="Y27" i="155"/>
  <c r="T27" i="155"/>
  <c r="U27" i="155" s="1"/>
  <c r="G40" i="157"/>
  <c r="Y44" i="157"/>
  <c r="Z44" i="157" s="1"/>
  <c r="AA44" i="157" s="1"/>
  <c r="U44" i="157"/>
  <c r="E30" i="156"/>
  <c r="F30" i="156" s="1"/>
  <c r="G30" i="156" s="1"/>
  <c r="H30" i="156" s="1"/>
  <c r="AI30" i="156"/>
  <c r="L25" i="41"/>
  <c r="Y66" i="154"/>
  <c r="Z66" i="154" s="1"/>
  <c r="AA66" i="154" s="1"/>
  <c r="U66" i="154"/>
  <c r="V25" i="23"/>
  <c r="Z21" i="41"/>
  <c r="N15" i="156"/>
  <c r="T9" i="156"/>
  <c r="U9" i="156" s="1"/>
  <c r="Y9" i="156"/>
  <c r="E33" i="156"/>
  <c r="F33" i="156" s="1"/>
  <c r="G33" i="156" s="1"/>
  <c r="H33" i="156" s="1"/>
  <c r="AI33" i="156"/>
  <c r="W85" i="155"/>
  <c r="N15" i="151"/>
  <c r="O15" i="151" s="1"/>
  <c r="U14" i="39"/>
  <c r="X14" i="39" s="1"/>
  <c r="Y14" i="41"/>
  <c r="AA14" i="41" s="1"/>
  <c r="AD14" i="41" s="1"/>
  <c r="L25" i="39"/>
  <c r="O11" i="39"/>
  <c r="I8" i="43"/>
  <c r="I14" i="43" s="1"/>
  <c r="I17" i="43" s="1"/>
  <c r="M29" i="142"/>
  <c r="Y13" i="41"/>
  <c r="U23" i="39"/>
  <c r="X23" i="39" s="1"/>
  <c r="G22" i="21"/>
  <c r="G8" i="21"/>
  <c r="O16" i="29"/>
  <c r="Y15" i="152"/>
  <c r="Y33" i="152" s="1"/>
  <c r="U33" i="152"/>
  <c r="AA18" i="157"/>
  <c r="X26" i="157"/>
  <c r="Z26" i="157"/>
  <c r="AA26" i="157" s="1"/>
  <c r="F29" i="23"/>
  <c r="I24" i="23"/>
  <c r="U46" i="156"/>
  <c r="Y46" i="156"/>
  <c r="Z46" i="156" s="1"/>
  <c r="AA46" i="156" s="1"/>
  <c r="U44" i="156"/>
  <c r="Y44" i="156"/>
  <c r="Z44" i="156" s="1"/>
  <c r="AA44" i="156" s="1"/>
  <c r="X15" i="155"/>
  <c r="Z15" i="155"/>
  <c r="W23" i="155"/>
  <c r="W37" i="155" s="1"/>
  <c r="Q37" i="155"/>
  <c r="T23" i="155"/>
  <c r="U23" i="155" s="1"/>
  <c r="V67" i="154"/>
  <c r="T67" i="154"/>
  <c r="H52" i="155"/>
  <c r="G53" i="155"/>
  <c r="G9" i="21"/>
  <c r="H9" i="21" s="1"/>
  <c r="G15" i="21"/>
  <c r="H15" i="21" s="1"/>
  <c r="W11" i="39"/>
  <c r="AB11" i="41" s="1"/>
  <c r="Y11" i="41"/>
  <c r="G33" i="152"/>
  <c r="F57" i="152"/>
  <c r="M37" i="155"/>
  <c r="T8" i="157"/>
  <c r="U8" i="157" s="1"/>
  <c r="H18" i="143"/>
  <c r="H23" i="143" s="1"/>
  <c r="Q15" i="41"/>
  <c r="R15" i="41" s="1"/>
  <c r="U15" i="41" s="1"/>
  <c r="X15" i="41" s="1"/>
  <c r="AA15" i="41" s="1"/>
  <c r="AD15" i="41" s="1"/>
  <c r="J29" i="23"/>
  <c r="L19" i="23"/>
  <c r="O12" i="29"/>
  <c r="H12" i="15"/>
  <c r="I12" i="15" s="1"/>
  <c r="H25" i="15"/>
  <c r="I25" i="15" s="1"/>
  <c r="H16" i="15"/>
  <c r="I16" i="15" s="1"/>
  <c r="H9" i="15"/>
  <c r="I9" i="15" s="1"/>
  <c r="H22" i="15"/>
  <c r="I22" i="15" s="1"/>
  <c r="H14" i="15"/>
  <c r="I14" i="15" s="1"/>
  <c r="H17" i="15"/>
  <c r="I17" i="15" s="1"/>
  <c r="H11" i="15"/>
  <c r="I11" i="15" s="1"/>
  <c r="AB16" i="41"/>
  <c r="Y16" i="156"/>
  <c r="T16" i="156"/>
  <c r="U16" i="156" s="1"/>
  <c r="Y39" i="154"/>
  <c r="U39" i="154"/>
  <c r="E23" i="157"/>
  <c r="F23" i="157" s="1"/>
  <c r="G23" i="157" s="1"/>
  <c r="H23" i="157" s="1"/>
  <c r="T12" i="155"/>
  <c r="U12" i="155" s="1"/>
  <c r="Y12" i="155"/>
  <c r="M55" i="156"/>
  <c r="N55" i="156" s="1"/>
  <c r="Y53" i="156"/>
  <c r="Y19" i="156"/>
  <c r="T19" i="156"/>
  <c r="U19" i="156" s="1"/>
  <c r="O18" i="142"/>
  <c r="F9" i="157"/>
  <c r="G9" i="157" s="1"/>
  <c r="H9" i="157" s="1"/>
  <c r="AN9" i="157"/>
  <c r="AO9" i="157" s="1"/>
  <c r="O9" i="157"/>
  <c r="W22" i="157"/>
  <c r="Z22" i="157" s="1"/>
  <c r="AA22" i="157" s="1"/>
  <c r="T22" i="157"/>
  <c r="U22" i="157" s="1"/>
  <c r="Q35" i="157"/>
  <c r="Y21" i="41"/>
  <c r="AA21" i="41" s="1"/>
  <c r="U21" i="39"/>
  <c r="X21" i="39" s="1"/>
  <c r="AC11" i="41"/>
  <c r="Z6" i="156"/>
  <c r="AA6" i="156" s="1"/>
  <c r="X6" i="156"/>
  <c r="O40" i="152"/>
  <c r="R40" i="152" s="1"/>
  <c r="S40" i="152" s="1"/>
  <c r="V40" i="152" s="1"/>
  <c r="W40" i="152" s="1"/>
  <c r="Z40" i="152" s="1"/>
  <c r="AA40" i="152" s="1"/>
  <c r="X16" i="23"/>
  <c r="U16" i="23"/>
  <c r="Z12" i="41"/>
  <c r="Z25" i="41" s="1"/>
  <c r="Z29" i="41" s="1"/>
  <c r="Z31" i="41" s="1"/>
  <c r="U25" i="23"/>
  <c r="H18" i="15"/>
  <c r="I18" i="15" s="1"/>
  <c r="H19" i="15"/>
  <c r="I19" i="15" s="1"/>
  <c r="T55" i="156"/>
  <c r="AA21" i="154"/>
  <c r="V15" i="152"/>
  <c r="Y24" i="155"/>
  <c r="T24" i="155"/>
  <c r="U24" i="155" s="1"/>
  <c r="Z19" i="157"/>
  <c r="T6" i="154"/>
  <c r="Y6" i="154"/>
  <c r="G6" i="157"/>
  <c r="AQ94" i="25"/>
  <c r="AO99" i="25"/>
  <c r="F57" i="142"/>
  <c r="F58" i="142" s="1"/>
  <c r="Z17" i="41"/>
  <c r="AA17" i="41" s="1"/>
  <c r="V21" i="23"/>
  <c r="Z44" i="152"/>
  <c r="AA44" i="152" s="1"/>
  <c r="V50" i="156"/>
  <c r="AC50" i="156"/>
  <c r="S22" i="154"/>
  <c r="V22" i="154"/>
  <c r="P34" i="154"/>
  <c r="V34" i="154" s="1"/>
  <c r="V42" i="155"/>
  <c r="T42" i="155"/>
  <c r="Y46" i="154"/>
  <c r="Z46" i="154" s="1"/>
  <c r="AA46" i="154" s="1"/>
  <c r="X8" i="157"/>
  <c r="X26" i="23"/>
  <c r="Y23" i="41"/>
  <c r="AA23" i="41" s="1"/>
  <c r="AD23" i="41" s="1"/>
  <c r="G12" i="21"/>
  <c r="H12" i="21" s="1"/>
  <c r="H24" i="15"/>
  <c r="I24" i="15" s="1"/>
  <c r="G17" i="21"/>
  <c r="H17" i="21" s="1"/>
  <c r="P14" i="168"/>
  <c r="Z22" i="155"/>
  <c r="AA22" i="155" s="1"/>
  <c r="X29" i="155"/>
  <c r="AA46" i="157"/>
  <c r="Y39" i="156"/>
  <c r="U39" i="156"/>
  <c r="U40" i="157"/>
  <c r="E16" i="157"/>
  <c r="F16" i="157" s="1"/>
  <c r="AI16" i="157"/>
  <c r="Z22" i="156"/>
  <c r="AA22" i="156" s="1"/>
  <c r="X22" i="156"/>
  <c r="AC58" i="157"/>
  <c r="T58" i="157"/>
  <c r="P75" i="157"/>
  <c r="AN17" i="25"/>
  <c r="AK59" i="25"/>
  <c r="V47" i="157"/>
  <c r="U54" i="154"/>
  <c r="Y49" i="154"/>
  <c r="Z49" i="154" s="1"/>
  <c r="AA49" i="154" s="1"/>
  <c r="P35" i="156"/>
  <c r="T24" i="154"/>
  <c r="U24" i="154" s="1"/>
  <c r="Y24" i="154"/>
  <c r="N71" i="151"/>
  <c r="E141" i="151"/>
  <c r="H98" i="151"/>
  <c r="V61" i="154"/>
  <c r="W9" i="157"/>
  <c r="Q13" i="157"/>
  <c r="V37" i="152"/>
  <c r="W37" i="152" s="1"/>
  <c r="Z37" i="152" s="1"/>
  <c r="AA37" i="152" s="1"/>
  <c r="AI61" i="25"/>
  <c r="AH78" i="25"/>
  <c r="H31" i="21"/>
  <c r="N74" i="168"/>
  <c r="G11" i="60"/>
  <c r="G8" i="63" s="1"/>
  <c r="G14" i="60"/>
  <c r="R53" i="152"/>
  <c r="S53" i="152" s="1"/>
  <c r="V53" i="152" s="1"/>
  <c r="W53" i="152" s="1"/>
  <c r="Z53" i="152" s="1"/>
  <c r="AA53" i="152" s="1"/>
  <c r="D16" i="60"/>
  <c r="J87" i="165"/>
  <c r="T36" i="154"/>
  <c r="U36" i="154" s="1"/>
  <c r="Y36" i="154"/>
  <c r="Y24" i="156"/>
  <c r="T24" i="156"/>
  <c r="U24" i="156" s="1"/>
  <c r="AK29" i="25"/>
  <c r="AN29" i="25" s="1"/>
  <c r="E41" i="143"/>
  <c r="E44" i="143" s="1"/>
  <c r="I54" i="142"/>
  <c r="I55" i="142" s="1"/>
  <c r="N45" i="154"/>
  <c r="I82" i="156"/>
  <c r="K35" i="156"/>
  <c r="U47" i="154"/>
  <c r="Y47" i="154"/>
  <c r="Z47" i="154" s="1"/>
  <c r="AA47" i="154" s="1"/>
  <c r="X12" i="156"/>
  <c r="Z12" i="156"/>
  <c r="AA12" i="156" s="1"/>
  <c r="W13" i="155"/>
  <c r="Q85" i="155"/>
  <c r="S23" i="156"/>
  <c r="S35" i="156" s="1"/>
  <c r="AC23" i="156"/>
  <c r="F11" i="63"/>
  <c r="V60" i="155"/>
  <c r="AA60" i="155" s="1"/>
  <c r="AC42" i="156"/>
  <c r="V42" i="156"/>
  <c r="T42" i="156"/>
  <c r="N50" i="156"/>
  <c r="T50" i="156" s="1"/>
  <c r="M51" i="156"/>
  <c r="N51" i="156" s="1"/>
  <c r="AU10" i="25"/>
  <c r="AW10" i="25" s="1"/>
  <c r="Y7" i="157"/>
  <c r="T7" i="157"/>
  <c r="U7" i="157" s="1"/>
  <c r="H38" i="151"/>
  <c r="H117" i="151" s="1"/>
  <c r="N50" i="157"/>
  <c r="T50" i="157" s="1"/>
  <c r="U50" i="157" s="1"/>
  <c r="W35" i="157"/>
  <c r="Y60" i="157"/>
  <c r="Z60" i="157" s="1"/>
  <c r="AA60" i="157" s="1"/>
  <c r="N18" i="142"/>
  <c r="Z23" i="155"/>
  <c r="AA23" i="155" s="1"/>
  <c r="X23" i="155"/>
  <c r="AA49" i="157"/>
  <c r="T24" i="157"/>
  <c r="U24" i="157" s="1"/>
  <c r="Y24" i="157"/>
  <c r="O41" i="142"/>
  <c r="I35" i="143"/>
  <c r="X20" i="154"/>
  <c r="Y48" i="154"/>
  <c r="Z48" i="154" s="1"/>
  <c r="AA48" i="154" s="1"/>
  <c r="V18" i="154"/>
  <c r="S18" i="154"/>
  <c r="Y23" i="157"/>
  <c r="T23" i="157"/>
  <c r="U23" i="157" s="1"/>
  <c r="P47" i="168"/>
  <c r="N47" i="168"/>
  <c r="AS42" i="25"/>
  <c r="AT42" i="25"/>
  <c r="AU42" i="25" s="1"/>
  <c r="AW42" i="25" s="1"/>
  <c r="AZ42" i="25" s="1"/>
  <c r="V58" i="154"/>
  <c r="T58" i="154"/>
  <c r="S7" i="155"/>
  <c r="V7" i="155"/>
  <c r="V45" i="157"/>
  <c r="AA45" i="157" s="1"/>
  <c r="AC45" i="157"/>
  <c r="P57" i="152"/>
  <c r="P79" i="152" s="1"/>
  <c r="S25" i="41"/>
  <c r="U22" i="41"/>
  <c r="X22" i="41" s="1"/>
  <c r="AA22" i="41" s="1"/>
  <c r="AD22" i="41" s="1"/>
  <c r="G30" i="23"/>
  <c r="H30" i="23"/>
  <c r="V48" i="157"/>
  <c r="T48" i="157"/>
  <c r="R36" i="152"/>
  <c r="V16" i="157"/>
  <c r="S16" i="157"/>
  <c r="V10" i="156"/>
  <c r="S10" i="156"/>
  <c r="AC10" i="156"/>
  <c r="M62" i="154"/>
  <c r="L65" i="154"/>
  <c r="L75" i="154" s="1"/>
  <c r="N40" i="154"/>
  <c r="T40" i="154" s="1"/>
  <c r="Y40" i="154" s="1"/>
  <c r="Z40" i="154" s="1"/>
  <c r="AA40" i="154" s="1"/>
  <c r="N20" i="168"/>
  <c r="P20" i="168"/>
  <c r="X100" i="25"/>
  <c r="W100" i="25"/>
  <c r="T33" i="152"/>
  <c r="D20" i="21"/>
  <c r="Q21" i="25"/>
  <c r="I16" i="142"/>
  <c r="I19" i="142" s="1"/>
  <c r="E53" i="143" s="1"/>
  <c r="E54" i="143" s="1"/>
  <c r="E62" i="143" s="1"/>
  <c r="O37" i="151"/>
  <c r="AH49" i="156"/>
  <c r="E49" i="156" s="1"/>
  <c r="F49" i="156" s="1"/>
  <c r="AI49" i="156"/>
  <c r="AC43" i="156"/>
  <c r="V43" i="156"/>
  <c r="T43" i="156"/>
  <c r="W21" i="156"/>
  <c r="Z21" i="156" s="1"/>
  <c r="AA21" i="156" s="1"/>
  <c r="M21" i="156"/>
  <c r="N21" i="156" s="1"/>
  <c r="Q21" i="156"/>
  <c r="T21" i="156" s="1"/>
  <c r="U21" i="156" s="1"/>
  <c r="C13" i="157"/>
  <c r="S21" i="157"/>
  <c r="AE100" i="25"/>
  <c r="Q61" i="25"/>
  <c r="E27" i="103"/>
  <c r="H14" i="89"/>
  <c r="AC39" i="157"/>
  <c r="V39" i="157"/>
  <c r="AA39" i="157" s="1"/>
  <c r="K13" i="151"/>
  <c r="V55" i="156"/>
  <c r="AC54" i="156"/>
  <c r="P55" i="156"/>
  <c r="AC55" i="156" s="1"/>
  <c r="O57" i="155"/>
  <c r="P55" i="155"/>
  <c r="R62" i="165"/>
  <c r="AT43" i="25"/>
  <c r="AU43" i="25" s="1"/>
  <c r="AW43" i="25" s="1"/>
  <c r="AZ43" i="25" s="1"/>
  <c r="AO44" i="25"/>
  <c r="AQ44" i="25" s="1"/>
  <c r="M18" i="142"/>
  <c r="V50" i="155"/>
  <c r="T50" i="155"/>
  <c r="AC28" i="156"/>
  <c r="V28" i="156"/>
  <c r="X28" i="156" s="1"/>
  <c r="V78" i="155"/>
  <c r="AA78" i="155" s="1"/>
  <c r="N78" i="155"/>
  <c r="T78" i="155" s="1"/>
  <c r="H59" i="155"/>
  <c r="G74" i="155"/>
  <c r="Q80" i="25"/>
  <c r="Z89" i="25"/>
  <c r="AI88" i="25"/>
  <c r="AK80" i="25"/>
  <c r="H9" i="155"/>
  <c r="G13" i="155"/>
  <c r="V19" i="157"/>
  <c r="X19" i="157" s="1"/>
  <c r="AC19" i="157"/>
  <c r="V28" i="157"/>
  <c r="T28" i="157"/>
  <c r="D32" i="143"/>
  <c r="D46" i="143" s="1"/>
  <c r="D48" i="143" s="1"/>
  <c r="P33" i="155"/>
  <c r="O37" i="155"/>
  <c r="O85" i="155" s="1"/>
  <c r="M16" i="151"/>
  <c r="N16" i="151" s="1"/>
  <c r="O16" i="151" s="1"/>
  <c r="K16" i="151"/>
  <c r="L12" i="151"/>
  <c r="K12" i="151"/>
  <c r="N61" i="154"/>
  <c r="T61" i="154" s="1"/>
  <c r="N57" i="154"/>
  <c r="P57" i="154"/>
  <c r="T46" i="155"/>
  <c r="V46" i="155"/>
  <c r="E18" i="156"/>
  <c r="F18" i="156" s="1"/>
  <c r="G18" i="156" s="1"/>
  <c r="H18" i="156" s="1"/>
  <c r="AI18" i="156"/>
  <c r="R12" i="41"/>
  <c r="U12" i="41" s="1"/>
  <c r="X12" i="41" s="1"/>
  <c r="AA12" i="41" s="1"/>
  <c r="AD12" i="41" s="1"/>
  <c r="Y19" i="155"/>
  <c r="T19" i="155"/>
  <c r="U19" i="155" s="1"/>
  <c r="AC18" i="157"/>
  <c r="V18" i="157"/>
  <c r="X18" i="157" s="1"/>
  <c r="K46" i="142"/>
  <c r="K55" i="142" s="1"/>
  <c r="F37" i="143"/>
  <c r="F39" i="143" s="1"/>
  <c r="G39" i="143"/>
  <c r="E45" i="143"/>
  <c r="E46" i="143" s="1"/>
  <c r="E48" i="143" s="1"/>
  <c r="E64" i="143" s="1"/>
  <c r="E72" i="143" s="1"/>
  <c r="E74" i="143" s="1"/>
  <c r="K30" i="151"/>
  <c r="N30" i="151" s="1"/>
  <c r="O30" i="151" s="1"/>
  <c r="G33" i="151"/>
  <c r="G38" i="151" s="1"/>
  <c r="H33" i="151"/>
  <c r="K28" i="151"/>
  <c r="M17" i="151"/>
  <c r="N17" i="151" s="1"/>
  <c r="O17" i="151" s="1"/>
  <c r="K17" i="151"/>
  <c r="M10" i="151"/>
  <c r="K10" i="151"/>
  <c r="Y15" i="154"/>
  <c r="M41" i="155"/>
  <c r="K41" i="155"/>
  <c r="AF39" i="155"/>
  <c r="AG39" i="155" s="1"/>
  <c r="F39" i="155"/>
  <c r="G39" i="155" s="1"/>
  <c r="H39" i="155" s="1"/>
  <c r="AC45" i="156"/>
  <c r="V45" i="156"/>
  <c r="T45" i="156"/>
  <c r="E15" i="156"/>
  <c r="F15" i="156" s="1"/>
  <c r="AI15" i="156"/>
  <c r="AI19" i="157"/>
  <c r="D35" i="157"/>
  <c r="E35" i="157" s="1"/>
  <c r="AC47" i="156"/>
  <c r="AG100" i="25"/>
  <c r="D28" i="60" s="1"/>
  <c r="D27" i="63" s="1"/>
  <c r="Y47" i="156"/>
  <c r="Z47" i="156" s="1"/>
  <c r="V49" i="155"/>
  <c r="AA49" i="155" s="1"/>
  <c r="L33" i="151"/>
  <c r="T25" i="41"/>
  <c r="T29" i="41" s="1"/>
  <c r="T31" i="41" s="1"/>
  <c r="I15" i="89"/>
  <c r="I10" i="89"/>
  <c r="I12" i="89" s="1"/>
  <c r="I14" i="89" s="1"/>
  <c r="AI99" i="25"/>
  <c r="AK99" i="25" s="1"/>
  <c r="AN99" i="25" s="1"/>
  <c r="M11" i="157"/>
  <c r="M13" i="157" s="1"/>
  <c r="I12" i="142"/>
  <c r="I13" i="142" s="1"/>
  <c r="I21" i="142" s="1"/>
  <c r="L10" i="89"/>
  <c r="L12" i="89" s="1"/>
  <c r="L14" i="89" s="1"/>
  <c r="L15" i="89" s="1"/>
  <c r="P45" i="154"/>
  <c r="K45" i="154"/>
  <c r="N61" i="155"/>
  <c r="H58" i="157"/>
  <c r="G64" i="157"/>
  <c r="G75" i="157" s="1"/>
  <c r="F66" i="156"/>
  <c r="C74" i="156"/>
  <c r="C75" i="156" s="1"/>
  <c r="M55" i="155"/>
  <c r="N22" i="156"/>
  <c r="G57" i="156"/>
  <c r="N73" i="151"/>
  <c r="O73" i="151" s="1"/>
  <c r="G55" i="142"/>
  <c r="G57" i="142" s="1"/>
  <c r="G58" i="142" s="1"/>
  <c r="F29" i="143"/>
  <c r="G29" i="143"/>
  <c r="Q15" i="154"/>
  <c r="W15" i="154" s="1"/>
  <c r="W34" i="154" s="1"/>
  <c r="T28" i="154"/>
  <c r="AH88" i="25"/>
  <c r="E89" i="25"/>
  <c r="E100" i="25" s="1"/>
  <c r="N46" i="152"/>
  <c r="O46" i="152" s="1"/>
  <c r="R46" i="152" s="1"/>
  <c r="S46" i="152" s="1"/>
  <c r="V46" i="152" s="1"/>
  <c r="W46" i="152" s="1"/>
  <c r="Z46" i="152" s="1"/>
  <c r="AA46" i="152" s="1"/>
  <c r="L31" i="142"/>
  <c r="K33" i="142"/>
  <c r="C57" i="142"/>
  <c r="C62" i="142" s="1"/>
  <c r="C70" i="143"/>
  <c r="C72" i="143" s="1"/>
  <c r="C74" i="143" s="1"/>
  <c r="D62" i="143"/>
  <c r="S17" i="154"/>
  <c r="P31" i="155"/>
  <c r="O43" i="157"/>
  <c r="F43" i="157"/>
  <c r="G43" i="157" s="1"/>
  <c r="H43" i="157" s="1"/>
  <c r="D19" i="157"/>
  <c r="G19" i="157" s="1"/>
  <c r="H19" i="157" s="1"/>
  <c r="AO19" i="157"/>
  <c r="I35" i="157"/>
  <c r="V15" i="157"/>
  <c r="T44" i="152"/>
  <c r="P54" i="152"/>
  <c r="M41" i="152"/>
  <c r="K41" i="152"/>
  <c r="L13" i="157"/>
  <c r="E10" i="151"/>
  <c r="E24" i="151" s="1"/>
  <c r="E38" i="151" s="1"/>
  <c r="E98" i="151" s="1"/>
  <c r="E117" i="151" s="1"/>
  <c r="C24" i="151"/>
  <c r="C38" i="151" s="1"/>
  <c r="C98" i="151" s="1"/>
  <c r="Q17" i="156"/>
  <c r="M17" i="156"/>
  <c r="N17" i="156" s="1"/>
  <c r="K43" i="154"/>
  <c r="M43" i="154"/>
  <c r="P61" i="155"/>
  <c r="P74" i="155" s="1"/>
  <c r="V74" i="155" s="1"/>
  <c r="O74" i="155"/>
  <c r="L51" i="157"/>
  <c r="M47" i="157"/>
  <c r="E11" i="15"/>
  <c r="V23" i="157"/>
  <c r="O41" i="151"/>
  <c r="E21" i="142"/>
  <c r="Z64" i="155"/>
  <c r="G32" i="155"/>
  <c r="H32" i="155" s="1"/>
  <c r="G31" i="155"/>
  <c r="H31" i="155" s="1"/>
  <c r="V47" i="156"/>
  <c r="G24" i="156"/>
  <c r="H24" i="156" s="1"/>
  <c r="C55" i="142"/>
  <c r="D55" i="142"/>
  <c r="D57" i="142" s="1"/>
  <c r="D58" i="142" s="1"/>
  <c r="K42" i="151"/>
  <c r="R75" i="154"/>
  <c r="P40" i="156"/>
  <c r="K12" i="157"/>
  <c r="N12" i="157"/>
  <c r="P12" i="157"/>
  <c r="N31" i="155"/>
  <c r="E57" i="142"/>
  <c r="H13" i="142"/>
  <c r="H21" i="142" s="1"/>
  <c r="H58" i="142" s="1"/>
  <c r="O40" i="151"/>
  <c r="G13" i="152"/>
  <c r="E33" i="152"/>
  <c r="E57" i="152" s="1"/>
  <c r="N40" i="156"/>
  <c r="M24" i="152"/>
  <c r="M33" i="152" s="1"/>
  <c r="K24" i="152"/>
  <c r="N24" i="152" s="1"/>
  <c r="C21" i="103"/>
  <c r="C27" i="103" s="1"/>
  <c r="I54" i="168"/>
  <c r="O54" i="168" s="1"/>
  <c r="O53" i="168"/>
  <c r="P59" i="156"/>
  <c r="G88" i="25"/>
  <c r="K46" i="156"/>
  <c r="G17" i="156"/>
  <c r="H17" i="156" s="1"/>
  <c r="P15" i="157"/>
  <c r="E92" i="168"/>
  <c r="L35" i="157"/>
  <c r="F10" i="157"/>
  <c r="G10" i="157" s="1"/>
  <c r="H10" i="157" s="1"/>
  <c r="O10" i="157"/>
  <c r="P10" i="157" s="1"/>
  <c r="O56" i="165"/>
  <c r="M62" i="165"/>
  <c r="O62" i="165" s="1"/>
  <c r="G16" i="155"/>
  <c r="AE13" i="156"/>
  <c r="C7" i="156"/>
  <c r="G33" i="168"/>
  <c r="P67" i="168"/>
  <c r="M106" i="170"/>
  <c r="E107" i="170"/>
  <c r="AI25" i="156"/>
  <c r="G59" i="25"/>
  <c r="O16" i="41"/>
  <c r="R16" i="41" s="1"/>
  <c r="U16" i="41" s="1"/>
  <c r="X16" i="41" s="1"/>
  <c r="AA16" i="41" s="1"/>
  <c r="C17" i="43"/>
  <c r="R42" i="167"/>
  <c r="R50" i="167" s="1"/>
  <c r="S50" i="167" s="1"/>
  <c r="M50" i="167"/>
  <c r="N50" i="167" s="1"/>
  <c r="I33" i="168"/>
  <c r="P30" i="168"/>
  <c r="H30" i="168"/>
  <c r="P33" i="167"/>
  <c r="R23" i="167"/>
  <c r="S23" i="167" s="1"/>
  <c r="N23" i="167"/>
  <c r="AD62" i="165"/>
  <c r="AE35" i="165"/>
  <c r="Q87" i="167"/>
  <c r="O33" i="167"/>
  <c r="O87" i="167" s="1"/>
  <c r="Q14" i="167"/>
  <c r="Q33" i="167" s="1"/>
  <c r="R21" i="167"/>
  <c r="S21" i="167" s="1"/>
  <c r="N21" i="167"/>
  <c r="J92" i="168"/>
  <c r="G27" i="103"/>
  <c r="R18" i="41"/>
  <c r="U18" i="41" s="1"/>
  <c r="X18" i="41" s="1"/>
  <c r="AA18" i="41" s="1"/>
  <c r="AD18" i="41" s="1"/>
  <c r="R13" i="41"/>
  <c r="U13" i="41" s="1"/>
  <c r="X13" i="41" s="1"/>
  <c r="AA13" i="41" s="1"/>
  <c r="AD13" i="41" s="1"/>
  <c r="E17" i="31"/>
  <c r="C35" i="60" s="1"/>
  <c r="C29" i="63" s="1"/>
  <c r="F21" i="103"/>
  <c r="E20" i="21"/>
  <c r="E35" i="21" s="1"/>
  <c r="D24" i="60" s="1"/>
  <c r="D24" i="63" s="1"/>
  <c r="I87" i="167"/>
  <c r="R66" i="167"/>
  <c r="S66" i="167" s="1"/>
  <c r="N66" i="167"/>
  <c r="N25" i="170"/>
  <c r="L35" i="166"/>
  <c r="H53" i="168"/>
  <c r="P53" i="168"/>
  <c r="L7" i="167"/>
  <c r="K12" i="167"/>
  <c r="M7" i="167"/>
  <c r="P50" i="167"/>
  <c r="S39" i="167"/>
  <c r="K108" i="170"/>
  <c r="N106" i="170"/>
  <c r="N107" i="170" s="1"/>
  <c r="L107" i="170"/>
  <c r="M29" i="23"/>
  <c r="M8" i="168"/>
  <c r="M27" i="168"/>
  <c r="M33" i="168" s="1"/>
  <c r="N33" i="168" s="1"/>
  <c r="L27" i="168"/>
  <c r="L33" i="168" s="1"/>
  <c r="AY100" i="25"/>
  <c r="G28" i="60" s="1"/>
  <c r="G27" i="63" s="1"/>
  <c r="O68" i="170"/>
  <c r="O79" i="170"/>
  <c r="P79" i="170" s="1"/>
  <c r="AD66" i="165"/>
  <c r="AD69" i="165" s="1"/>
  <c r="Z69" i="165"/>
  <c r="Z78" i="165" s="1"/>
  <c r="Z84" i="165" s="1"/>
  <c r="AS89" i="25"/>
  <c r="AP100" i="25"/>
  <c r="P62" i="165"/>
  <c r="J33" i="168"/>
  <c r="F40" i="13"/>
  <c r="N72" i="170"/>
  <c r="N73" i="170" s="1"/>
  <c r="L73" i="170"/>
  <c r="R52" i="167"/>
  <c r="M54" i="167"/>
  <c r="P77" i="168"/>
  <c r="O15" i="170"/>
  <c r="P15" i="170" s="1"/>
  <c r="E13" i="60"/>
  <c r="P23" i="168"/>
  <c r="R6" i="167"/>
  <c r="N6" i="167"/>
  <c r="M12" i="167"/>
  <c r="L77" i="170"/>
  <c r="H94" i="170"/>
  <c r="F99" i="170"/>
  <c r="O97" i="170"/>
  <c r="P97" i="170" s="1"/>
  <c r="F27" i="15"/>
  <c r="D22" i="60" s="1"/>
  <c r="G72" i="167"/>
  <c r="H72" i="167" s="1"/>
  <c r="M38" i="170"/>
  <c r="E46" i="170"/>
  <c r="E47" i="170" s="1"/>
  <c r="O65" i="170"/>
  <c r="P65" i="170" s="1"/>
  <c r="G12" i="168"/>
  <c r="P26" i="168"/>
  <c r="AE56" i="165"/>
  <c r="T62" i="165"/>
  <c r="S65" i="167"/>
  <c r="M70" i="170"/>
  <c r="O60" i="170"/>
  <c r="P60" i="170" s="1"/>
  <c r="H65" i="170"/>
  <c r="L65" i="170" s="1"/>
  <c r="N65" i="170" s="1"/>
  <c r="P67" i="170"/>
  <c r="O80" i="170"/>
  <c r="P80" i="170" s="1"/>
  <c r="D100" i="170"/>
  <c r="D108" i="170" s="1"/>
  <c r="R29" i="167"/>
  <c r="S29" i="167" s="1"/>
  <c r="R16" i="167"/>
  <c r="S16" i="167" s="1"/>
  <c r="N16" i="167"/>
  <c r="N17" i="167"/>
  <c r="R17" i="167"/>
  <c r="S17" i="167" s="1"/>
  <c r="R19" i="167"/>
  <c r="S19" i="167" s="1"/>
  <c r="N57" i="167"/>
  <c r="M72" i="167"/>
  <c r="N72" i="167" s="1"/>
  <c r="R57" i="167"/>
  <c r="F70" i="170"/>
  <c r="H49" i="170"/>
  <c r="F12" i="103"/>
  <c r="F27" i="103" s="1"/>
  <c r="AY89" i="25"/>
  <c r="V62" i="165"/>
  <c r="W62" i="165" s="1"/>
  <c r="W35" i="165"/>
  <c r="G87" i="167"/>
  <c r="H87" i="167" s="1"/>
  <c r="R14" i="167"/>
  <c r="L15" i="167"/>
  <c r="M15" i="167"/>
  <c r="O54" i="167"/>
  <c r="F46" i="170"/>
  <c r="F47" i="170" s="1"/>
  <c r="H37" i="170"/>
  <c r="O57" i="170"/>
  <c r="P57" i="170" s="1"/>
  <c r="E73" i="170"/>
  <c r="M72" i="170"/>
  <c r="G100" i="170"/>
  <c r="G108" i="170" s="1"/>
  <c r="H104" i="170"/>
  <c r="L102" i="170"/>
  <c r="N40" i="170"/>
  <c r="O40" i="170" s="1"/>
  <c r="P40" i="170" s="1"/>
  <c r="L45" i="170"/>
  <c r="N45" i="170" s="1"/>
  <c r="F89" i="170"/>
  <c r="J120" i="170"/>
  <c r="J100" i="170"/>
  <c r="J108" i="170" s="1"/>
  <c r="O95" i="170"/>
  <c r="P95" i="170" s="1"/>
  <c r="L30" i="166"/>
  <c r="L40" i="166"/>
  <c r="P12" i="167"/>
  <c r="E87" i="167"/>
  <c r="R31" i="167"/>
  <c r="S31" i="167" s="1"/>
  <c r="N31" i="167"/>
  <c r="Q57" i="167"/>
  <c r="Q72" i="167" s="1"/>
  <c r="O72" i="167"/>
  <c r="N69" i="167"/>
  <c r="R69" i="167"/>
  <c r="S69" i="167" s="1"/>
  <c r="N19" i="170"/>
  <c r="O19" i="170" s="1"/>
  <c r="P19" i="170" s="1"/>
  <c r="O45" i="170"/>
  <c r="P45" i="170" s="1"/>
  <c r="C70" i="170"/>
  <c r="O56" i="170"/>
  <c r="P56" i="170" s="1"/>
  <c r="O63" i="170"/>
  <c r="P63" i="170" s="1"/>
  <c r="O85" i="170"/>
  <c r="P85" i="170" s="1"/>
  <c r="L33" i="166"/>
  <c r="G50" i="167"/>
  <c r="H50" i="167" s="1"/>
  <c r="P72" i="167"/>
  <c r="O25" i="170"/>
  <c r="P25" i="170" s="1"/>
  <c r="N31" i="170"/>
  <c r="L42" i="170"/>
  <c r="N42" i="170" s="1"/>
  <c r="O42" i="170" s="1"/>
  <c r="P42" i="170" s="1"/>
  <c r="O87" i="170"/>
  <c r="P87" i="170" s="1"/>
  <c r="N73" i="167"/>
  <c r="R73" i="167"/>
  <c r="S73" i="167" s="1"/>
  <c r="M35" i="170"/>
  <c r="N23" i="170"/>
  <c r="O23" i="170" s="1"/>
  <c r="P23" i="170" s="1"/>
  <c r="C35" i="170"/>
  <c r="L25" i="170"/>
  <c r="L35" i="170" s="1"/>
  <c r="L30" i="170"/>
  <c r="N30" i="170" s="1"/>
  <c r="O30" i="170" s="1"/>
  <c r="P30" i="170" s="1"/>
  <c r="O31" i="170"/>
  <c r="P31" i="170" s="1"/>
  <c r="O32" i="170"/>
  <c r="P32" i="170" s="1"/>
  <c r="O43" i="170"/>
  <c r="P43" i="170" s="1"/>
  <c r="H53" i="170"/>
  <c r="L53" i="170" s="1"/>
  <c r="N53" i="170" s="1"/>
  <c r="O53" i="170" s="1"/>
  <c r="P53" i="170" s="1"/>
  <c r="M89" i="170"/>
  <c r="O84" i="170"/>
  <c r="P84" i="170" s="1"/>
  <c r="S97" i="170"/>
  <c r="D99" i="170"/>
  <c r="D120" i="170" s="1"/>
  <c r="N8" i="167"/>
  <c r="R8" i="167"/>
  <c r="S8" i="167" s="1"/>
  <c r="K33" i="167"/>
  <c r="L22" i="167"/>
  <c r="M22" i="167"/>
  <c r="O34" i="170"/>
  <c r="P34" i="170" s="1"/>
  <c r="H50" i="170"/>
  <c r="L50" i="170" s="1"/>
  <c r="N50" i="170" s="1"/>
  <c r="O50" i="170" s="1"/>
  <c r="P50" i="170" s="1"/>
  <c r="H57" i="170"/>
  <c r="L57" i="170" s="1"/>
  <c r="N57" i="170" s="1"/>
  <c r="H78" i="170"/>
  <c r="L78" i="170" s="1"/>
  <c r="N78" i="170" s="1"/>
  <c r="O78" i="170" s="1"/>
  <c r="P78" i="170" s="1"/>
  <c r="O83" i="170"/>
  <c r="P83" i="170" s="1"/>
  <c r="M99" i="170"/>
  <c r="I100" i="170"/>
  <c r="I108" i="170" s="1"/>
  <c r="R70" i="167"/>
  <c r="S70" i="167" s="1"/>
  <c r="U61" i="154" l="1"/>
  <c r="Y61" i="154"/>
  <c r="Z61" i="154" s="1"/>
  <c r="AA61" i="154" s="1"/>
  <c r="Z89" i="165"/>
  <c r="F16" i="60"/>
  <c r="N42" i="142"/>
  <c r="AA86" i="165"/>
  <c r="D73" i="143"/>
  <c r="C76" i="143"/>
  <c r="C13" i="60"/>
  <c r="E79" i="152"/>
  <c r="D111" i="170"/>
  <c r="D110" i="170" s="1"/>
  <c r="D114" i="170"/>
  <c r="D119" i="170" s="1"/>
  <c r="D126" i="170" s="1"/>
  <c r="U50" i="156"/>
  <c r="Y50" i="156"/>
  <c r="Z50" i="156" s="1"/>
  <c r="AA50" i="156" s="1"/>
  <c r="N22" i="167"/>
  <c r="R22" i="167"/>
  <c r="S22" i="167" s="1"/>
  <c r="P8" i="168"/>
  <c r="N8" i="168"/>
  <c r="M12" i="168"/>
  <c r="L12" i="167"/>
  <c r="K87" i="167"/>
  <c r="E108" i="170"/>
  <c r="S12" i="157"/>
  <c r="V12" i="157"/>
  <c r="AC12" i="157"/>
  <c r="X44" i="152"/>
  <c r="X54" i="152" s="1"/>
  <c r="X57" i="152" s="1"/>
  <c r="X79" i="152" s="1"/>
  <c r="T54" i="152"/>
  <c r="S31" i="155"/>
  <c r="P37" i="155"/>
  <c r="S62" i="165"/>
  <c r="R78" i="165"/>
  <c r="R84" i="165" s="1"/>
  <c r="P87" i="167"/>
  <c r="R54" i="167"/>
  <c r="S54" i="167" s="1"/>
  <c r="S52" i="167"/>
  <c r="M31" i="23"/>
  <c r="N30" i="23"/>
  <c r="D26" i="60" s="1"/>
  <c r="O33" i="168"/>
  <c r="I92" i="168"/>
  <c r="O92" i="168" s="1"/>
  <c r="O106" i="170"/>
  <c r="M107" i="170"/>
  <c r="M108" i="170" s="1"/>
  <c r="M114" i="170" s="1"/>
  <c r="V10" i="157"/>
  <c r="S10" i="157"/>
  <c r="AC10" i="157"/>
  <c r="AC59" i="156"/>
  <c r="T59" i="156"/>
  <c r="P75" i="156"/>
  <c r="V59" i="156"/>
  <c r="N47" i="157"/>
  <c r="T47" i="157" s="1"/>
  <c r="U47" i="157" s="1"/>
  <c r="M51" i="157"/>
  <c r="N51" i="157" s="1"/>
  <c r="Y17" i="154"/>
  <c r="Y34" i="154" s="1"/>
  <c r="T17" i="154"/>
  <c r="U17" i="154" s="1"/>
  <c r="S34" i="154"/>
  <c r="S75" i="154" s="1"/>
  <c r="AH89" i="25"/>
  <c r="U46" i="155"/>
  <c r="Y46" i="155"/>
  <c r="Z46" i="155" s="1"/>
  <c r="AA46" i="155" s="1"/>
  <c r="Y50" i="155"/>
  <c r="Z50" i="155" s="1"/>
  <c r="AA50" i="155" s="1"/>
  <c r="U50" i="155"/>
  <c r="V55" i="155"/>
  <c r="P57" i="155"/>
  <c r="V57" i="155" s="1"/>
  <c r="AN13" i="157"/>
  <c r="C82" i="157"/>
  <c r="C84" i="157" s="1"/>
  <c r="G49" i="156"/>
  <c r="F51" i="156"/>
  <c r="E51" i="156" s="1"/>
  <c r="H51" i="156" s="1"/>
  <c r="Y7" i="155"/>
  <c r="T7" i="155"/>
  <c r="S13" i="155"/>
  <c r="J35" i="143"/>
  <c r="D15" i="63"/>
  <c r="D18" i="63" s="1"/>
  <c r="AI78" i="25"/>
  <c r="AI89" i="25" s="1"/>
  <c r="AI100" i="25" s="1"/>
  <c r="AK61" i="25"/>
  <c r="AT94" i="25"/>
  <c r="AQ99" i="25"/>
  <c r="P9" i="157"/>
  <c r="O13" i="157"/>
  <c r="M85" i="155"/>
  <c r="N37" i="155"/>
  <c r="M35" i="156"/>
  <c r="AB25" i="41"/>
  <c r="Z40" i="157"/>
  <c r="R25" i="41"/>
  <c r="M100" i="170"/>
  <c r="M120" i="170"/>
  <c r="L37" i="170"/>
  <c r="H46" i="170"/>
  <c r="H12" i="168"/>
  <c r="P12" i="168"/>
  <c r="G92" i="168"/>
  <c r="D22" i="63"/>
  <c r="D30" i="60"/>
  <c r="D37" i="60" s="1"/>
  <c r="S6" i="167"/>
  <c r="R12" i="167"/>
  <c r="I82" i="157"/>
  <c r="N35" i="157"/>
  <c r="U28" i="154"/>
  <c r="Y28" i="154"/>
  <c r="G64" i="156"/>
  <c r="H57" i="156"/>
  <c r="N41" i="155"/>
  <c r="T41" i="155" s="1"/>
  <c r="Y41" i="155"/>
  <c r="M53" i="155"/>
  <c r="N53" i="155" s="1"/>
  <c r="G98" i="151"/>
  <c r="G117" i="151"/>
  <c r="V57" i="154"/>
  <c r="P65" i="154"/>
  <c r="V65" i="154" s="1"/>
  <c r="T57" i="154"/>
  <c r="Q88" i="25"/>
  <c r="Q89" i="25" s="1"/>
  <c r="S80" i="25"/>
  <c r="Y16" i="157"/>
  <c r="T16" i="157"/>
  <c r="U16" i="157" s="1"/>
  <c r="Z23" i="157"/>
  <c r="AA23" i="157" s="1"/>
  <c r="X23" i="157"/>
  <c r="X24" i="157"/>
  <c r="Z24" i="157"/>
  <c r="AA24" i="157" s="1"/>
  <c r="AZ10" i="25"/>
  <c r="G16" i="157"/>
  <c r="F35" i="157"/>
  <c r="Y42" i="155"/>
  <c r="Z42" i="155" s="1"/>
  <c r="AA42" i="155" s="1"/>
  <c r="U42" i="155"/>
  <c r="Z24" i="155"/>
  <c r="AA24" i="155" s="1"/>
  <c r="X24" i="155"/>
  <c r="Z12" i="155"/>
  <c r="AA12" i="155" s="1"/>
  <c r="X12" i="155"/>
  <c r="X23" i="23"/>
  <c r="AC19" i="41"/>
  <c r="AD19" i="41" s="1"/>
  <c r="Z30" i="154"/>
  <c r="AA30" i="154" s="1"/>
  <c r="X30" i="154"/>
  <c r="N102" i="170"/>
  <c r="L104" i="170"/>
  <c r="H13" i="103"/>
  <c r="H16" i="103"/>
  <c r="I16" i="103" s="1"/>
  <c r="H14" i="103"/>
  <c r="I14" i="103" s="1"/>
  <c r="H22" i="103"/>
  <c r="L19" i="19"/>
  <c r="H23" i="103"/>
  <c r="I23" i="103" s="1"/>
  <c r="H8" i="103"/>
  <c r="I8" i="103" s="1"/>
  <c r="H19" i="103"/>
  <c r="I19" i="103" s="1"/>
  <c r="E23" i="60"/>
  <c r="E23" i="63" s="1"/>
  <c r="H10" i="103"/>
  <c r="I10" i="103" s="1"/>
  <c r="H17" i="103"/>
  <c r="I17" i="103" s="1"/>
  <c r="H11" i="103"/>
  <c r="I11" i="103" s="1"/>
  <c r="H20" i="103"/>
  <c r="I20" i="103" s="1"/>
  <c r="H25" i="103"/>
  <c r="I25" i="103" s="1"/>
  <c r="H7" i="103"/>
  <c r="H9" i="103"/>
  <c r="I9" i="103" s="1"/>
  <c r="H15" i="103"/>
  <c r="I15" i="103" s="1"/>
  <c r="AD78" i="165"/>
  <c r="AD84" i="165" s="1"/>
  <c r="AE62" i="165"/>
  <c r="H33" i="168"/>
  <c r="P33" i="168"/>
  <c r="K35" i="157"/>
  <c r="AC40" i="156"/>
  <c r="V40" i="156"/>
  <c r="V51" i="156" s="1"/>
  <c r="T40" i="156"/>
  <c r="P51" i="156"/>
  <c r="AC51" i="156" s="1"/>
  <c r="T45" i="154"/>
  <c r="V45" i="154"/>
  <c r="V50" i="154" s="1"/>
  <c r="P50" i="154"/>
  <c r="P75" i="154" s="1"/>
  <c r="V75" i="154" s="1"/>
  <c r="G15" i="156"/>
  <c r="F35" i="156"/>
  <c r="X15" i="154"/>
  <c r="Z15" i="154"/>
  <c r="V33" i="155"/>
  <c r="S33" i="155"/>
  <c r="C23" i="60"/>
  <c r="C23" i="63" s="1"/>
  <c r="F19" i="19"/>
  <c r="N27" i="39"/>
  <c r="N28" i="39" s="1"/>
  <c r="S29" i="41"/>
  <c r="S31" i="41" s="1"/>
  <c r="Y58" i="154"/>
  <c r="Z58" i="154" s="1"/>
  <c r="AA58" i="154" s="1"/>
  <c r="U58" i="154"/>
  <c r="T18" i="154"/>
  <c r="U18" i="154" s="1"/>
  <c r="Y18" i="154"/>
  <c r="Y50" i="157"/>
  <c r="Z50" i="157" s="1"/>
  <c r="AA50" i="157" s="1"/>
  <c r="AO29" i="25"/>
  <c r="AQ29" i="25" s="1"/>
  <c r="AT29" i="25" s="1"/>
  <c r="M17" i="142"/>
  <c r="W13" i="157"/>
  <c r="Q82" i="157"/>
  <c r="W82" i="157" s="1"/>
  <c r="Z24" i="154"/>
  <c r="AA24" i="154" s="1"/>
  <c r="X24" i="154"/>
  <c r="M16" i="142"/>
  <c r="M19" i="142" s="1"/>
  <c r="AN59" i="25"/>
  <c r="AO17" i="25"/>
  <c r="V53" i="155"/>
  <c r="AC17" i="41"/>
  <c r="AC25" i="41" s="1"/>
  <c r="X21" i="23"/>
  <c r="F13" i="157"/>
  <c r="W15" i="152"/>
  <c r="Z15" i="152" s="1"/>
  <c r="F73" i="152"/>
  <c r="F79" i="152" s="1"/>
  <c r="G57" i="152"/>
  <c r="U67" i="154"/>
  <c r="Y67" i="154"/>
  <c r="Z67" i="154" s="1"/>
  <c r="AA67" i="154" s="1"/>
  <c r="AD10" i="41"/>
  <c r="AC21" i="41"/>
  <c r="AD21" i="41" s="1"/>
  <c r="X25" i="23"/>
  <c r="F51" i="157"/>
  <c r="E51" i="157" s="1"/>
  <c r="H51" i="157" s="1"/>
  <c r="G25" i="63"/>
  <c r="J18" i="143"/>
  <c r="J23" i="143" s="1"/>
  <c r="X24" i="39"/>
  <c r="O32" i="142" s="1"/>
  <c r="N32" i="142"/>
  <c r="I19" i="19"/>
  <c r="D23" i="60"/>
  <c r="D23" i="63" s="1"/>
  <c r="E10" i="63"/>
  <c r="E11" i="63" s="1"/>
  <c r="E14" i="60"/>
  <c r="U40" i="154"/>
  <c r="AC75" i="157"/>
  <c r="V75" i="157"/>
  <c r="AD17" i="41"/>
  <c r="G13" i="157"/>
  <c r="H6" i="157"/>
  <c r="AJ6" i="157" s="1"/>
  <c r="O19" i="23"/>
  <c r="N15" i="167"/>
  <c r="M33" i="167"/>
  <c r="N33" i="167" s="1"/>
  <c r="R15" i="167"/>
  <c r="S15" i="167" s="1"/>
  <c r="H70" i="170"/>
  <c r="L49" i="170"/>
  <c r="L94" i="170"/>
  <c r="H99" i="170"/>
  <c r="AD16" i="41"/>
  <c r="AC15" i="157"/>
  <c r="S15" i="157"/>
  <c r="P35" i="157"/>
  <c r="AC35" i="157" s="1"/>
  <c r="N42" i="151"/>
  <c r="K64" i="151"/>
  <c r="E58" i="142"/>
  <c r="M50" i="154"/>
  <c r="N43" i="154"/>
  <c r="T43" i="154" s="1"/>
  <c r="U43" i="154" s="1"/>
  <c r="N41" i="152"/>
  <c r="K57" i="142"/>
  <c r="K58" i="142" s="1"/>
  <c r="C58" i="142"/>
  <c r="AA47" i="156"/>
  <c r="N10" i="151"/>
  <c r="M24" i="151"/>
  <c r="M38" i="151" s="1"/>
  <c r="M98" i="151" s="1"/>
  <c r="M117" i="151" s="1"/>
  <c r="U28" i="157"/>
  <c r="Y28" i="157"/>
  <c r="G88" i="155"/>
  <c r="AS44" i="25"/>
  <c r="AT44" i="25"/>
  <c r="AU44" i="25" s="1"/>
  <c r="AW44" i="25" s="1"/>
  <c r="AZ44" i="25" s="1"/>
  <c r="S61" i="25"/>
  <c r="Q78" i="25"/>
  <c r="Y43" i="156"/>
  <c r="Z43" i="156" s="1"/>
  <c r="AA43" i="156" s="1"/>
  <c r="U43" i="156"/>
  <c r="U42" i="156"/>
  <c r="Y42" i="156"/>
  <c r="Z42" i="156" s="1"/>
  <c r="AA42" i="156" s="1"/>
  <c r="Y23" i="156"/>
  <c r="T23" i="156"/>
  <c r="U23" i="156" s="1"/>
  <c r="I86" i="156"/>
  <c r="X24" i="156"/>
  <c r="Z24" i="156"/>
  <c r="AA24" i="156" s="1"/>
  <c r="AC35" i="156"/>
  <c r="V35" i="156"/>
  <c r="U58" i="157"/>
  <c r="Y58" i="157"/>
  <c r="T75" i="157"/>
  <c r="U75" i="157" s="1"/>
  <c r="Z39" i="156"/>
  <c r="F85" i="155"/>
  <c r="X6" i="154"/>
  <c r="Z6" i="154"/>
  <c r="AA6" i="154" s="1"/>
  <c r="U55" i="156"/>
  <c r="J31" i="23"/>
  <c r="K30" i="23"/>
  <c r="K31" i="23" s="1"/>
  <c r="C26" i="60"/>
  <c r="Y25" i="41"/>
  <c r="Y29" i="41" s="1"/>
  <c r="Y31" i="41" s="1"/>
  <c r="O25" i="39"/>
  <c r="R11" i="39"/>
  <c r="U11" i="39" s="1"/>
  <c r="X11" i="39" s="1"/>
  <c r="H40" i="157"/>
  <c r="G51" i="157"/>
  <c r="F100" i="170"/>
  <c r="F120" i="170"/>
  <c r="O7" i="156"/>
  <c r="C13" i="156"/>
  <c r="AN7" i="156"/>
  <c r="AO7" i="156" s="1"/>
  <c r="F7" i="156"/>
  <c r="T15" i="154"/>
  <c r="Q34" i="154"/>
  <c r="Q75" i="154" s="1"/>
  <c r="W75" i="154" s="1"/>
  <c r="N55" i="155"/>
  <c r="T55" i="155" s="1"/>
  <c r="M57" i="155"/>
  <c r="N57" i="155" s="1"/>
  <c r="K24" i="151"/>
  <c r="X19" i="155"/>
  <c r="Z19" i="155"/>
  <c r="AA19" i="155" s="1"/>
  <c r="J8" i="43"/>
  <c r="J14" i="43" s="1"/>
  <c r="J17" i="43" s="1"/>
  <c r="O29" i="142" s="1"/>
  <c r="N29" i="142"/>
  <c r="N77" i="170"/>
  <c r="L89" i="170"/>
  <c r="H16" i="155"/>
  <c r="G37" i="155"/>
  <c r="H37" i="155" s="1"/>
  <c r="O24" i="152"/>
  <c r="R24" i="152" s="1"/>
  <c r="N33" i="152"/>
  <c r="Q41" i="152"/>
  <c r="M54" i="152"/>
  <c r="P43" i="157"/>
  <c r="O51" i="157"/>
  <c r="G66" i="156"/>
  <c r="F74" i="156"/>
  <c r="N13" i="157"/>
  <c r="M82" i="157"/>
  <c r="T57" i="152"/>
  <c r="T79" i="152" s="1"/>
  <c r="M65" i="154"/>
  <c r="N65" i="154" s="1"/>
  <c r="Y62" i="154"/>
  <c r="Z62" i="154" s="1"/>
  <c r="AA62" i="154" s="1"/>
  <c r="N62" i="154"/>
  <c r="T62" i="154" s="1"/>
  <c r="U62" i="154" s="1"/>
  <c r="U48" i="157"/>
  <c r="Y48" i="157"/>
  <c r="Z48" i="157" s="1"/>
  <c r="AA48" i="157" s="1"/>
  <c r="X36" i="154"/>
  <c r="Z36" i="154"/>
  <c r="AA36" i="154" s="1"/>
  <c r="Y22" i="154"/>
  <c r="T22" i="154"/>
  <c r="U22" i="154" s="1"/>
  <c r="U6" i="154"/>
  <c r="T13" i="154"/>
  <c r="Z39" i="154"/>
  <c r="L24" i="23"/>
  <c r="O24" i="23" s="1"/>
  <c r="R24" i="23" s="1"/>
  <c r="U24" i="23" s="1"/>
  <c r="X24" i="23" s="1"/>
  <c r="I29" i="23"/>
  <c r="D18" i="60"/>
  <c r="D38" i="63" s="1"/>
  <c r="G32" i="13"/>
  <c r="G40" i="13" s="1"/>
  <c r="T61" i="155"/>
  <c r="V61" i="155"/>
  <c r="L82" i="157"/>
  <c r="Y45" i="156"/>
  <c r="Z45" i="156" s="1"/>
  <c r="AA45" i="156" s="1"/>
  <c r="U45" i="156"/>
  <c r="D64" i="143"/>
  <c r="D72" i="143" s="1"/>
  <c r="S21" i="25"/>
  <c r="Q59" i="25"/>
  <c r="S36" i="152"/>
  <c r="V36" i="152" s="1"/>
  <c r="L33" i="167"/>
  <c r="N35" i="170"/>
  <c r="O35" i="170" s="1"/>
  <c r="P35" i="170" s="1"/>
  <c r="G89" i="25"/>
  <c r="G100" i="25" s="1"/>
  <c r="O72" i="170"/>
  <c r="M73" i="170"/>
  <c r="S14" i="167"/>
  <c r="R72" i="167"/>
  <c r="S72" i="167" s="1"/>
  <c r="S57" i="167"/>
  <c r="O38" i="170"/>
  <c r="P38" i="170" s="1"/>
  <c r="M46" i="170"/>
  <c r="M47" i="170" s="1"/>
  <c r="H89" i="170"/>
  <c r="P27" i="168"/>
  <c r="N27" i="168"/>
  <c r="N7" i="167"/>
  <c r="R7" i="167"/>
  <c r="S7" i="167" s="1"/>
  <c r="M57" i="152"/>
  <c r="M79" i="152" s="1"/>
  <c r="V31" i="155"/>
  <c r="N12" i="151"/>
  <c r="L24" i="151"/>
  <c r="L38" i="151" s="1"/>
  <c r="AN80" i="25"/>
  <c r="AK88" i="25"/>
  <c r="D82" i="157"/>
  <c r="Y21" i="157"/>
  <c r="T21" i="157"/>
  <c r="U21" i="157" s="1"/>
  <c r="Q25" i="41"/>
  <c r="AA19" i="157"/>
  <c r="X19" i="156"/>
  <c r="Z19" i="156"/>
  <c r="AA19" i="156" s="1"/>
  <c r="I27" i="142"/>
  <c r="I28" i="142" s="1"/>
  <c r="I33" i="142" s="1"/>
  <c r="I57" i="142" s="1"/>
  <c r="I58" i="142" s="1"/>
  <c r="F31" i="23"/>
  <c r="G20" i="21"/>
  <c r="H8" i="21"/>
  <c r="H20" i="21" s="1"/>
  <c r="O25" i="41"/>
  <c r="X9" i="156"/>
  <c r="Z9" i="156"/>
  <c r="AA9" i="156" s="1"/>
  <c r="Z27" i="155"/>
  <c r="AA27" i="155" s="1"/>
  <c r="X27" i="155"/>
  <c r="Z26" i="156"/>
  <c r="AA26" i="156" s="1"/>
  <c r="X26" i="156"/>
  <c r="M87" i="167"/>
  <c r="N87" i="167" s="1"/>
  <c r="N12" i="167"/>
  <c r="T17" i="156"/>
  <c r="U17" i="156" s="1"/>
  <c r="Q35" i="156"/>
  <c r="Q82" i="156" s="1"/>
  <c r="W82" i="156" s="1"/>
  <c r="W17" i="156"/>
  <c r="N28" i="151"/>
  <c r="K33" i="151"/>
  <c r="T10" i="156"/>
  <c r="U10" i="156" s="1"/>
  <c r="Y10" i="156"/>
  <c r="Z7" i="157"/>
  <c r="AA7" i="157" s="1"/>
  <c r="X7" i="157"/>
  <c r="Y55" i="156"/>
  <c r="Z55" i="156" s="1"/>
  <c r="AA55" i="156" s="1"/>
  <c r="Z53" i="156"/>
  <c r="AA53" i="156" s="1"/>
  <c r="X16" i="156"/>
  <c r="Z16" i="156"/>
  <c r="AA15" i="155"/>
  <c r="H22" i="21"/>
  <c r="H32" i="21" s="1"/>
  <c r="G32" i="21"/>
  <c r="X11" i="41"/>
  <c r="U25" i="41"/>
  <c r="X34" i="154" l="1"/>
  <c r="U55" i="155"/>
  <c r="T57" i="155"/>
  <c r="U57" i="155" s="1"/>
  <c r="Y55" i="155"/>
  <c r="X23" i="156"/>
  <c r="Z23" i="156"/>
  <c r="AA23" i="156" s="1"/>
  <c r="H15" i="156"/>
  <c r="G35" i="156"/>
  <c r="H35" i="156" s="1"/>
  <c r="X25" i="41"/>
  <c r="AA11" i="41"/>
  <c r="X21" i="157"/>
  <c r="Z21" i="157"/>
  <c r="AA21" i="157" s="1"/>
  <c r="C16" i="60"/>
  <c r="G79" i="152"/>
  <c r="U41" i="155"/>
  <c r="T53" i="155"/>
  <c r="U53" i="155" s="1"/>
  <c r="S12" i="167"/>
  <c r="L46" i="170"/>
  <c r="L47" i="170" s="1"/>
  <c r="N37" i="170"/>
  <c r="N35" i="156"/>
  <c r="M82" i="156"/>
  <c r="T10" i="157"/>
  <c r="U10" i="157" s="1"/>
  <c r="Y10" i="157"/>
  <c r="T31" i="155"/>
  <c r="Y31" i="155"/>
  <c r="S37" i="155"/>
  <c r="S85" i="155" s="1"/>
  <c r="O28" i="151"/>
  <c r="N33" i="151"/>
  <c r="AA39" i="154"/>
  <c r="S24" i="152"/>
  <c r="V24" i="152" s="1"/>
  <c r="R33" i="152"/>
  <c r="G85" i="155"/>
  <c r="H85" i="155" s="1"/>
  <c r="O41" i="152"/>
  <c r="R41" i="152" s="1"/>
  <c r="N54" i="152"/>
  <c r="O54" i="152" s="1"/>
  <c r="Y15" i="157"/>
  <c r="T15" i="157"/>
  <c r="S35" i="157"/>
  <c r="H53" i="143"/>
  <c r="H54" i="143" s="1"/>
  <c r="H62" i="143" s="1"/>
  <c r="M21" i="142"/>
  <c r="X18" i="154"/>
  <c r="Z18" i="154"/>
  <c r="AA18" i="154" s="1"/>
  <c r="Y33" i="155"/>
  <c r="T33" i="155"/>
  <c r="U33" i="155" s="1"/>
  <c r="I22" i="103"/>
  <c r="I24" i="103" s="1"/>
  <c r="H24" i="103"/>
  <c r="U57" i="154"/>
  <c r="Y57" i="154"/>
  <c r="T65" i="154"/>
  <c r="U65" i="154" s="1"/>
  <c r="D19" i="60"/>
  <c r="D38" i="60" s="1"/>
  <c r="H49" i="156"/>
  <c r="G51" i="156"/>
  <c r="Y47" i="157"/>
  <c r="Z47" i="157" s="1"/>
  <c r="AA47" i="157" s="1"/>
  <c r="M92" i="168"/>
  <c r="N12" i="168"/>
  <c r="I86" i="157"/>
  <c r="AK78" i="25"/>
  <c r="AN61" i="25"/>
  <c r="M86" i="157"/>
  <c r="N82" i="157"/>
  <c r="O42" i="142"/>
  <c r="I36" i="143"/>
  <c r="I39" i="143" s="1"/>
  <c r="N46" i="142"/>
  <c r="N17" i="142"/>
  <c r="AU29" i="25"/>
  <c r="AW29" i="25" s="1"/>
  <c r="AZ29" i="25" s="1"/>
  <c r="O17" i="142" s="1"/>
  <c r="H13" i="157"/>
  <c r="Z17" i="156"/>
  <c r="AA17" i="156" s="1"/>
  <c r="W35" i="156"/>
  <c r="W36" i="152"/>
  <c r="Z36" i="152" s="1"/>
  <c r="AN13" i="156"/>
  <c r="C82" i="156"/>
  <c r="AN88" i="25"/>
  <c r="AO80" i="25"/>
  <c r="R33" i="167"/>
  <c r="S33" i="167" s="1"/>
  <c r="Q100" i="25"/>
  <c r="Y61" i="155"/>
  <c r="U61" i="155"/>
  <c r="T74" i="155"/>
  <c r="U74" i="155" s="1"/>
  <c r="U13" i="154"/>
  <c r="H66" i="156"/>
  <c r="G74" i="156"/>
  <c r="P7" i="156"/>
  <c r="O13" i="156"/>
  <c r="O82" i="156" s="1"/>
  <c r="N50" i="154"/>
  <c r="M75" i="154"/>
  <c r="N75" i="154" s="1"/>
  <c r="D121" i="170"/>
  <c r="F82" i="157"/>
  <c r="E13" i="157"/>
  <c r="E82" i="157" s="1"/>
  <c r="AD89" i="165"/>
  <c r="G16" i="60"/>
  <c r="X28" i="154"/>
  <c r="Z28" i="154"/>
  <c r="AA28" i="154" s="1"/>
  <c r="T35" i="156"/>
  <c r="U35" i="156" s="1"/>
  <c r="O82" i="157"/>
  <c r="O107" i="170"/>
  <c r="P106" i="170"/>
  <c r="F19" i="60"/>
  <c r="F15" i="63"/>
  <c r="F18" i="63" s="1"/>
  <c r="U41" i="152"/>
  <c r="Q54" i="152"/>
  <c r="Q57" i="152" s="1"/>
  <c r="Q79" i="152" s="1"/>
  <c r="O42" i="151"/>
  <c r="N64" i="151"/>
  <c r="AQ17" i="25"/>
  <c r="AO59" i="25"/>
  <c r="Y53" i="155"/>
  <c r="Z41" i="155"/>
  <c r="V37" i="155"/>
  <c r="P85" i="155"/>
  <c r="F13" i="156"/>
  <c r="G7" i="156"/>
  <c r="V21" i="25"/>
  <c r="S59" i="25"/>
  <c r="AA39" i="156"/>
  <c r="Y43" i="154"/>
  <c r="H120" i="170"/>
  <c r="H100" i="170"/>
  <c r="H108" i="170" s="1"/>
  <c r="AA15" i="154"/>
  <c r="U40" i="156"/>
  <c r="Y40" i="156"/>
  <c r="T51" i="156"/>
  <c r="U51" i="156" s="1"/>
  <c r="I13" i="103"/>
  <c r="I21" i="103" s="1"/>
  <c r="H21" i="103"/>
  <c r="H16" i="157"/>
  <c r="G35" i="157"/>
  <c r="H35" i="157" s="1"/>
  <c r="H92" i="168"/>
  <c r="P92" i="168"/>
  <c r="V9" i="157"/>
  <c r="AC9" i="157"/>
  <c r="S9" i="157"/>
  <c r="P13" i="157"/>
  <c r="L49" i="142"/>
  <c r="AH100" i="25"/>
  <c r="V75" i="156"/>
  <c r="AC75" i="156"/>
  <c r="R89" i="165"/>
  <c r="S86" i="165"/>
  <c r="E16" i="60"/>
  <c r="C14" i="60"/>
  <c r="C10" i="63"/>
  <c r="C11" i="63" s="1"/>
  <c r="F18" i="19"/>
  <c r="I18" i="19" s="1"/>
  <c r="L18" i="19" s="1"/>
  <c r="O18" i="19" s="1"/>
  <c r="R18" i="19" s="1"/>
  <c r="F15" i="19"/>
  <c r="I15" i="19" s="1"/>
  <c r="L15" i="19" s="1"/>
  <c r="O15" i="19" s="1"/>
  <c r="R15" i="19" s="1"/>
  <c r="F17" i="19"/>
  <c r="I17" i="19" s="1"/>
  <c r="L17" i="19" s="1"/>
  <c r="O17" i="19" s="1"/>
  <c r="R17" i="19" s="1"/>
  <c r="F13" i="19"/>
  <c r="I13" i="19" s="1"/>
  <c r="L13" i="19" s="1"/>
  <c r="O13" i="19" s="1"/>
  <c r="R13" i="19" s="1"/>
  <c r="F12" i="19"/>
  <c r="I12" i="19" s="1"/>
  <c r="L12" i="19" s="1"/>
  <c r="O12" i="19" s="1"/>
  <c r="R12" i="19" s="1"/>
  <c r="F11" i="19"/>
  <c r="I11" i="19" s="1"/>
  <c r="L11" i="19" s="1"/>
  <c r="O11" i="19" s="1"/>
  <c r="R11" i="19" s="1"/>
  <c r="F16" i="19"/>
  <c r="I16" i="19" s="1"/>
  <c r="L16" i="19" s="1"/>
  <c r="O16" i="19" s="1"/>
  <c r="R16" i="19" s="1"/>
  <c r="F10" i="19"/>
  <c r="I10" i="19" s="1"/>
  <c r="L10" i="19" s="1"/>
  <c r="O10" i="19" s="1"/>
  <c r="R10" i="19" s="1"/>
  <c r="F14" i="19"/>
  <c r="I14" i="19" s="1"/>
  <c r="L14" i="19" s="1"/>
  <c r="O14" i="19" s="1"/>
  <c r="R14" i="19" s="1"/>
  <c r="S88" i="25"/>
  <c r="V80" i="25"/>
  <c r="V88" i="25" s="1"/>
  <c r="X7" i="155"/>
  <c r="Z7" i="155"/>
  <c r="AA7" i="155" s="1"/>
  <c r="X17" i="154"/>
  <c r="Z17" i="154"/>
  <c r="AA17" i="154" s="1"/>
  <c r="G91" i="155"/>
  <c r="G89" i="155"/>
  <c r="L26" i="142"/>
  <c r="R25" i="39"/>
  <c r="X28" i="157"/>
  <c r="Z28" i="157"/>
  <c r="AA28" i="157" s="1"/>
  <c r="AA15" i="152"/>
  <c r="G75" i="156"/>
  <c r="N85" i="155"/>
  <c r="M89" i="155"/>
  <c r="L98" i="151"/>
  <c r="L117" i="151"/>
  <c r="H21" i="13"/>
  <c r="H22" i="13"/>
  <c r="H34" i="13"/>
  <c r="I34" i="13" s="1"/>
  <c r="H37" i="13"/>
  <c r="I37" i="13" s="1"/>
  <c r="H20" i="13"/>
  <c r="I20" i="13" s="1"/>
  <c r="H31" i="13"/>
  <c r="I31" i="13" s="1"/>
  <c r="H28" i="13"/>
  <c r="H11" i="13"/>
  <c r="I11" i="13" s="1"/>
  <c r="H36" i="13"/>
  <c r="I36" i="13" s="1"/>
  <c r="H35" i="13"/>
  <c r="I35" i="13" s="1"/>
  <c r="E18" i="60"/>
  <c r="E38" i="63" s="1"/>
  <c r="C25" i="63"/>
  <c r="F18" i="143"/>
  <c r="F23" i="143" s="1"/>
  <c r="Y35" i="156"/>
  <c r="X35" i="156" s="1"/>
  <c r="Z10" i="156"/>
  <c r="AA10" i="156" s="1"/>
  <c r="X10" i="156"/>
  <c r="P72" i="170"/>
  <c r="O73" i="170"/>
  <c r="P73" i="170" s="1"/>
  <c r="AC43" i="157"/>
  <c r="T43" i="157"/>
  <c r="P51" i="157"/>
  <c r="AC51" i="157" s="1"/>
  <c r="V43" i="157"/>
  <c r="V51" i="157" s="1"/>
  <c r="N89" i="170"/>
  <c r="O77" i="170"/>
  <c r="V61" i="25"/>
  <c r="V78" i="25" s="1"/>
  <c r="S78" i="25"/>
  <c r="O10" i="151"/>
  <c r="N24" i="151"/>
  <c r="L99" i="170"/>
  <c r="N94" i="170"/>
  <c r="L29" i="23"/>
  <c r="T50" i="154"/>
  <c r="U50" i="154" s="1"/>
  <c r="Y13" i="155"/>
  <c r="Y59" i="156"/>
  <c r="U59" i="156"/>
  <c r="T75" i="156"/>
  <c r="U75" i="156" s="1"/>
  <c r="Y12" i="157"/>
  <c r="T12" i="157"/>
  <c r="U12" i="157" s="1"/>
  <c r="J27" i="142"/>
  <c r="J28" i="142" s="1"/>
  <c r="J33" i="142" s="1"/>
  <c r="I31" i="23"/>
  <c r="U15" i="154"/>
  <c r="T34" i="154"/>
  <c r="U34" i="154" s="1"/>
  <c r="N104" i="170"/>
  <c r="O102" i="170"/>
  <c r="O33" i="152"/>
  <c r="AK89" i="25"/>
  <c r="AK100" i="25" s="1"/>
  <c r="K38" i="151"/>
  <c r="K98" i="151" s="1"/>
  <c r="K117" i="151" s="1"/>
  <c r="U45" i="154"/>
  <c r="Y45" i="154"/>
  <c r="Z45" i="154" s="1"/>
  <c r="AA45" i="154" s="1"/>
  <c r="AA16" i="156"/>
  <c r="X22" i="154"/>
  <c r="Z22" i="154"/>
  <c r="AA22" i="154" s="1"/>
  <c r="Z58" i="157"/>
  <c r="AA58" i="157" s="1"/>
  <c r="Y75" i="157"/>
  <c r="Z75" i="157" s="1"/>
  <c r="AA75" i="157" s="1"/>
  <c r="N49" i="170"/>
  <c r="L70" i="170"/>
  <c r="R19" i="23"/>
  <c r="O29" i="23"/>
  <c r="L27" i="142" s="1"/>
  <c r="H12" i="103"/>
  <c r="I7" i="103"/>
  <c r="I12" i="103" s="1"/>
  <c r="Z16" i="157"/>
  <c r="AA16" i="157" s="1"/>
  <c r="X16" i="157"/>
  <c r="V35" i="157"/>
  <c r="AA40" i="157"/>
  <c r="AU94" i="25"/>
  <c r="AT99" i="25"/>
  <c r="AU99" i="25" s="1"/>
  <c r="U7" i="155"/>
  <c r="T13" i="155"/>
  <c r="D25" i="63"/>
  <c r="D35" i="63" s="1"/>
  <c r="D43" i="63" s="1"/>
  <c r="G18" i="143"/>
  <c r="G23" i="143" s="1"/>
  <c r="D12" i="63" l="1"/>
  <c r="D45" i="63"/>
  <c r="N57" i="152"/>
  <c r="AA41" i="155"/>
  <c r="Z53" i="155"/>
  <c r="AA53" i="155" s="1"/>
  <c r="AA36" i="152"/>
  <c r="G11" i="143"/>
  <c r="G16" i="143" s="1"/>
  <c r="G28" i="143" s="1"/>
  <c r="G32" i="143" s="1"/>
  <c r="G46" i="143" s="1"/>
  <c r="G48" i="143" s="1"/>
  <c r="G64" i="143" s="1"/>
  <c r="G72" i="143" s="1"/>
  <c r="G74" i="143" s="1"/>
  <c r="D40" i="60"/>
  <c r="D42" i="60" s="1"/>
  <c r="D50" i="60" s="1"/>
  <c r="S41" i="152"/>
  <c r="V41" i="152" s="1"/>
  <c r="R54" i="152"/>
  <c r="S54" i="152" s="1"/>
  <c r="Z12" i="157"/>
  <c r="AA12" i="157" s="1"/>
  <c r="X12" i="157"/>
  <c r="O94" i="170"/>
  <c r="N99" i="170"/>
  <c r="U25" i="39"/>
  <c r="M26" i="142"/>
  <c r="V89" i="25"/>
  <c r="J49" i="142" s="1"/>
  <c r="Z40" i="156"/>
  <c r="Y51" i="156"/>
  <c r="G15" i="63"/>
  <c r="G18" i="63" s="1"/>
  <c r="G19" i="60"/>
  <c r="V7" i="156"/>
  <c r="S7" i="156"/>
  <c r="AC7" i="156"/>
  <c r="P13" i="156"/>
  <c r="X31" i="155"/>
  <c r="Z31" i="155"/>
  <c r="Y37" i="155"/>
  <c r="X37" i="155" s="1"/>
  <c r="C15" i="63"/>
  <c r="C18" i="63" s="1"/>
  <c r="C19" i="60"/>
  <c r="T9" i="157"/>
  <c r="Y9" i="157"/>
  <c r="S13" i="157"/>
  <c r="X33" i="155"/>
  <c r="Z33" i="155"/>
  <c r="AA33" i="155" s="1"/>
  <c r="U19" i="23"/>
  <c r="X19" i="23" s="1"/>
  <c r="R29" i="23"/>
  <c r="Z35" i="156"/>
  <c r="AA35" i="156" s="1"/>
  <c r="O104" i="170"/>
  <c r="P104" i="170" s="1"/>
  <c r="P102" i="170"/>
  <c r="L120" i="170"/>
  <c r="L100" i="170"/>
  <c r="L28" i="142"/>
  <c r="L33" i="142" s="1"/>
  <c r="S89" i="25"/>
  <c r="S100" i="25"/>
  <c r="J36" i="143"/>
  <c r="J39" i="143" s="1"/>
  <c r="O46" i="142"/>
  <c r="Z57" i="154"/>
  <c r="AA57" i="154" s="1"/>
  <c r="Y65" i="154"/>
  <c r="Z65" i="154" s="1"/>
  <c r="AA65" i="154" s="1"/>
  <c r="S33" i="152"/>
  <c r="R57" i="152"/>
  <c r="U31" i="155"/>
  <c r="T37" i="155"/>
  <c r="U37" i="155" s="1"/>
  <c r="R87" i="167"/>
  <c r="Y57" i="155"/>
  <c r="Z57" i="155" s="1"/>
  <c r="AA57" i="155" s="1"/>
  <c r="Z55" i="155"/>
  <c r="AA55" i="155" s="1"/>
  <c r="O89" i="170"/>
  <c r="P89" i="170" s="1"/>
  <c r="P77" i="170"/>
  <c r="O37" i="170"/>
  <c r="N46" i="170"/>
  <c r="N47" i="170" s="1"/>
  <c r="E138" i="151"/>
  <c r="O24" i="151"/>
  <c r="N38" i="151"/>
  <c r="O38" i="151" s="1"/>
  <c r="Y43" i="157"/>
  <c r="U43" i="157"/>
  <c r="T51" i="157"/>
  <c r="U51" i="157" s="1"/>
  <c r="J16" i="142"/>
  <c r="J19" i="142" s="1"/>
  <c r="V59" i="25"/>
  <c r="V100" i="25" s="1"/>
  <c r="AS17" i="25"/>
  <c r="AS59" i="25" s="1"/>
  <c r="AS100" i="25" s="1"/>
  <c r="F28" i="60" s="1"/>
  <c r="F27" i="63" s="1"/>
  <c r="AT17" i="25"/>
  <c r="AQ59" i="25"/>
  <c r="P107" i="170"/>
  <c r="AQ80" i="25"/>
  <c r="AO88" i="25"/>
  <c r="G82" i="157"/>
  <c r="W24" i="152"/>
  <c r="Z24" i="152" s="1"/>
  <c r="V33" i="152"/>
  <c r="X10" i="157"/>
  <c r="Z10" i="157"/>
  <c r="AA10" i="157" s="1"/>
  <c r="Z43" i="154"/>
  <c r="Y50" i="154"/>
  <c r="Z61" i="155"/>
  <c r="AA61" i="155" s="1"/>
  <c r="Y74" i="155"/>
  <c r="Z74" i="155" s="1"/>
  <c r="AA74" i="155" s="1"/>
  <c r="G41" i="143"/>
  <c r="G44" i="143" s="1"/>
  <c r="G45" i="143" s="1"/>
  <c r="L54" i="142"/>
  <c r="L55" i="142" s="1"/>
  <c r="Z34" i="154"/>
  <c r="H7" i="156"/>
  <c r="G13" i="156"/>
  <c r="O64" i="151"/>
  <c r="E140" i="151"/>
  <c r="N98" i="151"/>
  <c r="T75" i="154"/>
  <c r="U75" i="154" s="1"/>
  <c r="G85" i="157"/>
  <c r="N92" i="168"/>
  <c r="K96" i="168"/>
  <c r="E21" i="60"/>
  <c r="AD11" i="41"/>
  <c r="AD25" i="41" s="1"/>
  <c r="AA25" i="41"/>
  <c r="AO61" i="25"/>
  <c r="AN78" i="25"/>
  <c r="AN89" i="25" s="1"/>
  <c r="N70" i="170"/>
  <c r="O49" i="170"/>
  <c r="Z59" i="156"/>
  <c r="AA59" i="156" s="1"/>
  <c r="Y75" i="156"/>
  <c r="Z75" i="156" s="1"/>
  <c r="AA75" i="156" s="1"/>
  <c r="F82" i="156"/>
  <c r="E13" i="156"/>
  <c r="E82" i="156" s="1"/>
  <c r="H88" i="156"/>
  <c r="C84" i="156"/>
  <c r="U15" i="157"/>
  <c r="T35" i="157"/>
  <c r="U35" i="157" s="1"/>
  <c r="M86" i="156"/>
  <c r="N82" i="156"/>
  <c r="Y41" i="152"/>
  <c r="Y54" i="152" s="1"/>
  <c r="Y57" i="152" s="1"/>
  <c r="Y79" i="152" s="1"/>
  <c r="U54" i="152"/>
  <c r="U57" i="152" s="1"/>
  <c r="U79" i="152" s="1"/>
  <c r="U13" i="155"/>
  <c r="T85" i="155"/>
  <c r="Z13" i="155"/>
  <c r="E15" i="63"/>
  <c r="E18" i="63" s="1"/>
  <c r="E19" i="60"/>
  <c r="AC13" i="157"/>
  <c r="AC82" i="157" s="1"/>
  <c r="V13" i="157"/>
  <c r="P82" i="157"/>
  <c r="P86" i="155"/>
  <c r="P89" i="155" s="1"/>
  <c r="V85" i="155"/>
  <c r="X15" i="157"/>
  <c r="Z15" i="157"/>
  <c r="Y35" i="157"/>
  <c r="X35" i="157" s="1"/>
  <c r="O33" i="151"/>
  <c r="E139" i="151"/>
  <c r="M49" i="142" l="1"/>
  <c r="AN100" i="25"/>
  <c r="U85" i="155"/>
  <c r="T86" i="155"/>
  <c r="Z43" i="157"/>
  <c r="Y51" i="157"/>
  <c r="L57" i="142"/>
  <c r="L58" i="142" s="1"/>
  <c r="N100" i="170"/>
  <c r="N108" i="170" s="1"/>
  <c r="N120" i="170"/>
  <c r="P49" i="170"/>
  <c r="O70" i="170"/>
  <c r="P70" i="170" s="1"/>
  <c r="AA43" i="154"/>
  <c r="Z50" i="154"/>
  <c r="AA50" i="154" s="1"/>
  <c r="N26" i="142"/>
  <c r="X25" i="39"/>
  <c r="O26" i="142" s="1"/>
  <c r="P83" i="157"/>
  <c r="P86" i="157" s="1"/>
  <c r="V82" i="157"/>
  <c r="AA34" i="154"/>
  <c r="AA31" i="155"/>
  <c r="Z37" i="155"/>
  <c r="AA37" i="155" s="1"/>
  <c r="O99" i="170"/>
  <c r="P94" i="170"/>
  <c r="AA13" i="155"/>
  <c r="W33" i="152"/>
  <c r="AA24" i="152"/>
  <c r="Z33" i="152"/>
  <c r="E151" i="151"/>
  <c r="F21" i="60"/>
  <c r="R90" i="167"/>
  <c r="S87" i="167"/>
  <c r="X9" i="157"/>
  <c r="Z9" i="157"/>
  <c r="AA9" i="157" s="1"/>
  <c r="N117" i="151"/>
  <c r="O98" i="151"/>
  <c r="H82" i="157"/>
  <c r="G86" i="157"/>
  <c r="U9" i="157"/>
  <c r="T13" i="157"/>
  <c r="P82" i="156"/>
  <c r="AC13" i="156"/>
  <c r="AC82" i="156" s="1"/>
  <c r="V13" i="156"/>
  <c r="AA40" i="156"/>
  <c r="Z51" i="156"/>
  <c r="AA51" i="156" s="1"/>
  <c r="O57" i="152"/>
  <c r="N73" i="152"/>
  <c r="N79" i="152" s="1"/>
  <c r="O79" i="152" s="1"/>
  <c r="AU17" i="25"/>
  <c r="AW17" i="25" s="1"/>
  <c r="AT59" i="25"/>
  <c r="N16" i="142"/>
  <c r="N19" i="142" s="1"/>
  <c r="S82" i="157"/>
  <c r="Y13" i="157"/>
  <c r="AO78" i="25"/>
  <c r="AO89" i="25" s="1"/>
  <c r="AO100" i="25" s="1"/>
  <c r="AQ61" i="25"/>
  <c r="F53" i="143"/>
  <c r="F54" i="143" s="1"/>
  <c r="F62" i="143" s="1"/>
  <c r="J21" i="142"/>
  <c r="J58" i="142" s="1"/>
  <c r="F41" i="143"/>
  <c r="F44" i="143" s="1"/>
  <c r="F45" i="143" s="1"/>
  <c r="J54" i="142"/>
  <c r="J55" i="142" s="1"/>
  <c r="J57" i="142" s="1"/>
  <c r="W41" i="152"/>
  <c r="Z41" i="152" s="1"/>
  <c r="V54" i="152"/>
  <c r="W54" i="152" s="1"/>
  <c r="D54" i="63"/>
  <c r="D57" i="63"/>
  <c r="G85" i="156"/>
  <c r="G82" i="156"/>
  <c r="H13" i="156"/>
  <c r="AA15" i="157"/>
  <c r="Z35" i="157"/>
  <c r="AA35" i="157" s="1"/>
  <c r="Y85" i="155"/>
  <c r="E21" i="63"/>
  <c r="E35" i="63" s="1"/>
  <c r="E43" i="63" s="1"/>
  <c r="E12" i="63" s="1"/>
  <c r="E30" i="60"/>
  <c r="E37" i="60" s="1"/>
  <c r="E38" i="60" s="1"/>
  <c r="Y75" i="154"/>
  <c r="AQ88" i="25"/>
  <c r="AT80" i="25"/>
  <c r="O46" i="170"/>
  <c r="P37" i="170"/>
  <c r="R73" i="152"/>
  <c r="R79" i="152" s="1"/>
  <c r="S79" i="152" s="1"/>
  <c r="S57" i="152"/>
  <c r="M27" i="142"/>
  <c r="M28" i="142" s="1"/>
  <c r="M33" i="142" s="1"/>
  <c r="U29" i="23"/>
  <c r="Y7" i="156"/>
  <c r="T7" i="156"/>
  <c r="S13" i="156"/>
  <c r="H11" i="143" l="1"/>
  <c r="H16" i="143" s="1"/>
  <c r="H28" i="143" s="1"/>
  <c r="H32" i="143" s="1"/>
  <c r="E40" i="60"/>
  <c r="E42" i="60" s="1"/>
  <c r="E50" i="60" s="1"/>
  <c r="G44" i="60" s="1"/>
  <c r="G86" i="156"/>
  <c r="H82" i="156"/>
  <c r="O28" i="142"/>
  <c r="O33" i="142" s="1"/>
  <c r="P83" i="156"/>
  <c r="P86" i="156" s="1"/>
  <c r="V82" i="156"/>
  <c r="AZ17" i="25"/>
  <c r="AW59" i="25"/>
  <c r="Y13" i="156"/>
  <c r="S82" i="156"/>
  <c r="E45" i="63"/>
  <c r="G42" i="63" s="1"/>
  <c r="V57" i="152"/>
  <c r="AA43" i="157"/>
  <c r="Z51" i="157"/>
  <c r="AA51" i="157" s="1"/>
  <c r="C21" i="60"/>
  <c r="O117" i="151"/>
  <c r="O118" i="151" s="1"/>
  <c r="O119" i="151" s="1"/>
  <c r="AA33" i="152"/>
  <c r="Z57" i="152"/>
  <c r="AU59" i="25"/>
  <c r="U13" i="157"/>
  <c r="T82" i="157"/>
  <c r="U7" i="156"/>
  <c r="T13" i="156"/>
  <c r="O47" i="170"/>
  <c r="P47" i="170" s="1"/>
  <c r="P46" i="170"/>
  <c r="AT61" i="25"/>
  <c r="AQ78" i="25"/>
  <c r="AQ89" i="25" s="1"/>
  <c r="AQ100" i="25" s="1"/>
  <c r="Z85" i="155"/>
  <c r="AA85" i="155" s="1"/>
  <c r="Z75" i="154"/>
  <c r="AA75" i="154" s="1"/>
  <c r="T88" i="155"/>
  <c r="U86" i="155"/>
  <c r="I53" i="143"/>
  <c r="I54" i="143" s="1"/>
  <c r="I62" i="143" s="1"/>
  <c r="N21" i="142"/>
  <c r="X7" i="156"/>
  <c r="Z7" i="156"/>
  <c r="AA7" i="156" s="1"/>
  <c r="AT88" i="25"/>
  <c r="AU80" i="25"/>
  <c r="AA41" i="152"/>
  <c r="Z54" i="152"/>
  <c r="AA54" i="152" s="1"/>
  <c r="Z13" i="157"/>
  <c r="Y82" i="157"/>
  <c r="N51" i="142"/>
  <c r="F21" i="63"/>
  <c r="F35" i="63" s="1"/>
  <c r="F43" i="63" s="1"/>
  <c r="F30" i="60"/>
  <c r="F37" i="60" s="1"/>
  <c r="F38" i="60" s="1"/>
  <c r="N27" i="142"/>
  <c r="N28" i="142" s="1"/>
  <c r="N33" i="142" s="1"/>
  <c r="X29" i="23"/>
  <c r="O27" i="142" s="1"/>
  <c r="O100" i="170"/>
  <c r="P99" i="170"/>
  <c r="P120" i="170" s="1"/>
  <c r="O120" i="170"/>
  <c r="O122" i="170" s="1"/>
  <c r="H41" i="143"/>
  <c r="H44" i="143" s="1"/>
  <c r="H45" i="143" s="1"/>
  <c r="M54" i="142"/>
  <c r="M55" i="142" s="1"/>
  <c r="M57" i="142" s="1"/>
  <c r="M58" i="142" s="1"/>
  <c r="W57" i="152" l="1"/>
  <c r="V73" i="152"/>
  <c r="V79" i="152" s="1"/>
  <c r="W79" i="152" s="1"/>
  <c r="Z82" i="157"/>
  <c r="AA82" i="157" s="1"/>
  <c r="AA13" i="157"/>
  <c r="AU61" i="25"/>
  <c r="AT78" i="25"/>
  <c r="AT89" i="25" s="1"/>
  <c r="Z86" i="155"/>
  <c r="P100" i="170"/>
  <c r="O108" i="170"/>
  <c r="AA57" i="152"/>
  <c r="Z73" i="152"/>
  <c r="Z79" i="152" s="1"/>
  <c r="AA79" i="152" s="1"/>
  <c r="Z13" i="156"/>
  <c r="Y82" i="156"/>
  <c r="I11" i="143"/>
  <c r="I16" i="143" s="1"/>
  <c r="I28" i="143" s="1"/>
  <c r="I32" i="143" s="1"/>
  <c r="F40" i="60"/>
  <c r="F42" i="60" s="1"/>
  <c r="F50" i="60" s="1"/>
  <c r="AU88" i="25"/>
  <c r="AW80" i="25"/>
  <c r="C21" i="63"/>
  <c r="C35" i="63" s="1"/>
  <c r="C43" i="63" s="1"/>
  <c r="C30" i="60"/>
  <c r="C37" i="60" s="1"/>
  <c r="C38" i="60" s="1"/>
  <c r="O16" i="142"/>
  <c r="O19" i="142" s="1"/>
  <c r="AZ59" i="25"/>
  <c r="H46" i="143"/>
  <c r="H48" i="143" s="1"/>
  <c r="H64" i="143" s="1"/>
  <c r="H72" i="143" s="1"/>
  <c r="H74" i="143" s="1"/>
  <c r="I42" i="143"/>
  <c r="U13" i="156"/>
  <c r="T82" i="156"/>
  <c r="F12" i="63"/>
  <c r="F45" i="63"/>
  <c r="U82" i="157"/>
  <c r="T83" i="157"/>
  <c r="N49" i="142" l="1"/>
  <c r="AT100" i="25"/>
  <c r="J53" i="143"/>
  <c r="J54" i="143" s="1"/>
  <c r="J62" i="143" s="1"/>
  <c r="O21" i="142"/>
  <c r="C12" i="63"/>
  <c r="C45" i="63"/>
  <c r="O117" i="170"/>
  <c r="P108" i="170"/>
  <c r="F110" i="170" s="1"/>
  <c r="H110" i="170" s="1"/>
  <c r="L110" i="170" s="1"/>
  <c r="Z82" i="156"/>
  <c r="AA82" i="156" s="1"/>
  <c r="AA13" i="156"/>
  <c r="F11" i="143"/>
  <c r="F16" i="143" s="1"/>
  <c r="F28" i="143" s="1"/>
  <c r="F32" i="143" s="1"/>
  <c r="F46" i="143" s="1"/>
  <c r="F48" i="143" s="1"/>
  <c r="F64" i="143" s="1"/>
  <c r="F72" i="143" s="1"/>
  <c r="F74" i="143" s="1"/>
  <c r="C40" i="60"/>
  <c r="C42" i="60" s="1"/>
  <c r="C50" i="60" s="1"/>
  <c r="U82" i="156"/>
  <c r="T83" i="156"/>
  <c r="AU78" i="25"/>
  <c r="AU89" i="25" s="1"/>
  <c r="AU100" i="25" s="1"/>
  <c r="AW61" i="25"/>
  <c r="Z83" i="157"/>
  <c r="T85" i="157"/>
  <c r="U83" i="157"/>
  <c r="AW88" i="25"/>
  <c r="AZ80" i="25"/>
  <c r="AZ88" i="25" s="1"/>
  <c r="N110" i="170" l="1"/>
  <c r="L114" i="170"/>
  <c r="T85" i="156"/>
  <c r="U83" i="156"/>
  <c r="Z83" i="156"/>
  <c r="AW89" i="25"/>
  <c r="AW100" i="25" s="1"/>
  <c r="AZ61" i="25"/>
  <c r="AZ78" i="25" s="1"/>
  <c r="AZ89" i="25" s="1"/>
  <c r="AW78" i="25"/>
  <c r="N54" i="142"/>
  <c r="N55" i="142" s="1"/>
  <c r="N57" i="142" s="1"/>
  <c r="N58" i="142" s="1"/>
  <c r="I41" i="143"/>
  <c r="I44" i="143" s="1"/>
  <c r="I45" i="143" s="1"/>
  <c r="I46" i="143" s="1"/>
  <c r="I48" i="143" s="1"/>
  <c r="I64" i="143" s="1"/>
  <c r="I72" i="143" s="1"/>
  <c r="I74" i="143" s="1"/>
  <c r="O49" i="142" l="1"/>
  <c r="AZ100" i="25"/>
  <c r="O110" i="170"/>
  <c r="N114" i="170"/>
  <c r="P110" i="170" l="1"/>
  <c r="O114" i="170"/>
  <c r="J41" i="143"/>
  <c r="P114" i="170" l="1"/>
  <c r="G21" i="60"/>
  <c r="G21" i="63" l="1"/>
  <c r="G35" i="63" s="1"/>
  <c r="G43" i="63" s="1"/>
  <c r="G30" i="60"/>
  <c r="G37" i="60" s="1"/>
  <c r="G38" i="60" s="1"/>
  <c r="O51" i="142"/>
  <c r="J42" i="143" l="1"/>
  <c r="J44" i="143" s="1"/>
  <c r="J45" i="143" s="1"/>
  <c r="O54" i="142"/>
  <c r="O55" i="142" s="1"/>
  <c r="O57" i="142" s="1"/>
  <c r="O58" i="142" s="1"/>
  <c r="J11" i="143"/>
  <c r="J16" i="143" s="1"/>
  <c r="J28" i="143" s="1"/>
  <c r="J32" i="143" s="1"/>
  <c r="J46" i="143" s="1"/>
  <c r="J48" i="143" s="1"/>
  <c r="J64" i="143" s="1"/>
  <c r="J72" i="143" s="1"/>
  <c r="J74" i="143" s="1"/>
  <c r="G40" i="60"/>
  <c r="G42" i="60" s="1"/>
  <c r="G50" i="60" s="1"/>
  <c r="G12" i="63"/>
  <c r="G45" i="63"/>
</calcChain>
</file>

<file path=xl/comments1.xml><?xml version="1.0" encoding="utf-8"?>
<comments xmlns="http://schemas.openxmlformats.org/spreadsheetml/2006/main">
  <authors>
    <author>power purchase</author>
    <author>Windows User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power purchase:</t>
        </r>
        <r>
          <rPr>
            <sz val="8"/>
            <color indexed="81"/>
            <rFont val="Tahoma"/>
            <family val="2"/>
          </rPr>
          <t xml:space="preserve">
prov removed</t>
        </r>
      </text>
    </comment>
    <comment ref="B24" authorId="0" shapeId="0">
      <text>
        <r>
          <rPr>
            <b/>
            <sz val="8"/>
            <color indexed="81"/>
            <rFont val="Tahoma"/>
            <family val="2"/>
          </rPr>
          <t>power purchase:</t>
        </r>
        <r>
          <rPr>
            <sz val="8"/>
            <color indexed="81"/>
            <rFont val="Tahoma"/>
            <family val="2"/>
          </rPr>
          <t xml:space="preserve">
upto march updated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including jan 18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-200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-400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-200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-400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-200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-400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-200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-400</t>
        </r>
      </text>
    </comment>
  </commentList>
</comments>
</file>

<file path=xl/sharedStrings.xml><?xml version="1.0" encoding="utf-8"?>
<sst xmlns="http://schemas.openxmlformats.org/spreadsheetml/2006/main" count="2868" uniqueCount="1351">
  <si>
    <t>Losses/gains relating to Fixed assets</t>
  </si>
  <si>
    <t>Assets decommissioning cost</t>
  </si>
  <si>
    <t>(a) Equity for wires business</t>
  </si>
  <si>
    <t>(b) Equity for supply business</t>
  </si>
  <si>
    <t xml:space="preserve"> RETURN ON EQUITY</t>
  </si>
  <si>
    <t>Distribution of equity for ROE calucation</t>
  </si>
  <si>
    <t>Repairs and maintenance</t>
  </si>
  <si>
    <t>Others, if any</t>
  </si>
  <si>
    <t>Total of 2</t>
  </si>
  <si>
    <t>Form-D10</t>
  </si>
  <si>
    <t>Material Cost Variance</t>
  </si>
  <si>
    <t>Contributions, Grants and Subsidies towards Cost of Capital Assets</t>
  </si>
  <si>
    <t xml:space="preserve"> Security Deposit from consumers</t>
  </si>
  <si>
    <t>Proceeds from disposal of Fixed Assets</t>
  </si>
  <si>
    <t>Total Funds from Operations (1+2+3+4)</t>
  </si>
  <si>
    <t>Addition of assets during the year</t>
  </si>
  <si>
    <t>Delayed payment charges(merged in tariff)</t>
  </si>
  <si>
    <t>Excess found on physical verification of Assets</t>
  </si>
  <si>
    <t>h</t>
  </si>
  <si>
    <t>LT-6</t>
  </si>
  <si>
    <t>HT 2(a)(II)</t>
  </si>
  <si>
    <t>HT 2(b)(I)</t>
  </si>
  <si>
    <t>HT 2(b)(II)</t>
  </si>
  <si>
    <t>HT 3(a)(I)</t>
  </si>
  <si>
    <t>HT 3(a)(II)</t>
  </si>
  <si>
    <t>HT 4(a)</t>
  </si>
  <si>
    <t>HT 4(b)</t>
  </si>
  <si>
    <t>Office Equipments</t>
  </si>
  <si>
    <t>Salaries</t>
  </si>
  <si>
    <t>Dearness Allowance</t>
  </si>
  <si>
    <t>Other Allowances</t>
  </si>
  <si>
    <t>Bonus</t>
  </si>
  <si>
    <t>Other Adjustments</t>
  </si>
  <si>
    <t>Medical expenses reimbursement</t>
  </si>
  <si>
    <t>Equity Share Capital</t>
  </si>
  <si>
    <t>IP Tariff subsidy received from GOK</t>
  </si>
  <si>
    <t>Water Supply-VPs/TPs</t>
  </si>
  <si>
    <t>Public lighting-VPs/TPs</t>
  </si>
  <si>
    <t>Temporary Supply</t>
  </si>
  <si>
    <t>A&amp;G expenses for prior period</t>
  </si>
  <si>
    <t>REV SUBSIDIES &amp; GRANTS *</t>
  </si>
  <si>
    <t>T4/D4</t>
  </si>
  <si>
    <t>OTHER INCOME</t>
  </si>
  <si>
    <t>TOTAL</t>
  </si>
  <si>
    <t>EXPENDITURE</t>
  </si>
  <si>
    <t>PURCHASE OF POWER</t>
  </si>
  <si>
    <t>Repairs and maintenance to:</t>
  </si>
  <si>
    <t>Plant and Machinery</t>
  </si>
  <si>
    <t>Buildings</t>
  </si>
  <si>
    <t>Other civil works</t>
  </si>
  <si>
    <t xml:space="preserve">Irrigation Pump sets (&lt; 10 HP) </t>
  </si>
  <si>
    <t>Irrigation Pump sets (&gt; 10 HP)</t>
  </si>
  <si>
    <t>Private HorticultureNurseries</t>
  </si>
  <si>
    <t>LT 5</t>
  </si>
  <si>
    <t>Industrial Heating &amp; Motive power</t>
  </si>
  <si>
    <t>Lift Irrigation, Govt. Dept, Govt. owned Corp.</t>
  </si>
  <si>
    <t>LT 4 (a)(I)</t>
  </si>
  <si>
    <t>LT 4 (a)(II)</t>
  </si>
  <si>
    <t>LT 5(a)</t>
  </si>
  <si>
    <t>LT 5(b)</t>
  </si>
  <si>
    <t>HT 2(a)(I)</t>
  </si>
  <si>
    <r>
      <t>4.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</si>
  <si>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5.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</si>
  <si>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7.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</si>
  <si>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8.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</si>
  <si>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9.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</si>
  <si>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10.</t>
    </r>
    <r>
      <rPr>
        <sz val="10"/>
        <rFont val="Times New Roman"/>
        <family val="1"/>
      </rPr>
      <t xml:space="preserve">  </t>
    </r>
    <r>
      <rPr>
        <sz val="10"/>
        <rFont val="Arial"/>
        <family val="2"/>
      </rPr>
      <t> </t>
    </r>
  </si>
  <si>
    <t>Sl No</t>
  </si>
  <si>
    <t>Item</t>
  </si>
  <si>
    <t xml:space="preserve">Bescom Total </t>
  </si>
  <si>
    <t>Aggregate Revenue Requirement</t>
  </si>
  <si>
    <t>A4</t>
  </si>
  <si>
    <t>Repeat the same format to provide voltage class-wise information.</t>
  </si>
  <si>
    <t>Sub-station maintenance by private agencies</t>
  </si>
  <si>
    <t>Vehicles</t>
  </si>
  <si>
    <t>Furniture &amp; Fixtures</t>
  </si>
  <si>
    <t xml:space="preserve">Administration and General Charges </t>
  </si>
  <si>
    <t>Details of Expenses Capitalised</t>
  </si>
  <si>
    <t xml:space="preserve">Other Debits </t>
  </si>
  <si>
    <t>Others Total</t>
  </si>
  <si>
    <t>Repairs and Maintenance Costs</t>
  </si>
  <si>
    <r>
      <t>1.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</si>
  <si>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2.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</si>
  <si>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r>
      <t>3.</t>
    </r>
    <r>
      <rPr>
        <sz val="10"/>
        <rFont val="Times New Roman"/>
        <family val="1"/>
      </rPr>
      <t xml:space="preserve">      </t>
    </r>
    <r>
      <rPr>
        <sz val="10"/>
        <rFont val="Arial"/>
        <family val="2"/>
      </rPr>
      <t> </t>
    </r>
  </si>
  <si>
    <t>Hydraulic Works/Civil works</t>
  </si>
  <si>
    <t>Net Depreciation for the Year</t>
  </si>
  <si>
    <t>Subsidies towards cost of Capital Assets*</t>
  </si>
  <si>
    <t>l</t>
  </si>
  <si>
    <t>m</t>
  </si>
  <si>
    <t>Employees Costs - Additional information</t>
  </si>
  <si>
    <t>Category of employee</t>
  </si>
  <si>
    <t>Other (Misc.)-net prior period credit</t>
  </si>
  <si>
    <t xml:space="preserve"> Total</t>
  </si>
  <si>
    <t>Electricity duty payable (Contra)</t>
  </si>
  <si>
    <t>Check</t>
  </si>
  <si>
    <t>(Note:  To be  considered for Bescom -Total also)</t>
  </si>
  <si>
    <t>T6/D6</t>
  </si>
  <si>
    <t>EMPLOYEES COSTS</t>
  </si>
  <si>
    <t>T7/D7</t>
  </si>
  <si>
    <t>ADM &amp; GENERAL EXPENSES</t>
  </si>
  <si>
    <t>T8/D8</t>
  </si>
  <si>
    <t>TOTAl OF I ( BMAZ)</t>
  </si>
  <si>
    <t>BRAZ</t>
  </si>
  <si>
    <t>C</t>
  </si>
  <si>
    <t>CIRCLE</t>
  </si>
  <si>
    <t>DIVISIONS</t>
  </si>
  <si>
    <t>HUBLI ZONE</t>
  </si>
  <si>
    <t xml:space="preserve">Depreciation </t>
  </si>
  <si>
    <t>Material related expesnes relating to previous years</t>
  </si>
  <si>
    <t>Bescom-Total</t>
  </si>
  <si>
    <t>Provision for taxes</t>
  </si>
  <si>
    <t>Surplus(+) / Shortfall(-) : (1)-(6)</t>
  </si>
  <si>
    <t>Extraordinary items</t>
  </si>
  <si>
    <t>POWER PURCHASE (MU)</t>
  </si>
  <si>
    <t xml:space="preserve">Power Purchase </t>
  </si>
  <si>
    <t>PROFIT &amp; LOSS ACCOUNT</t>
  </si>
  <si>
    <t>(Rs in Crs)</t>
  </si>
  <si>
    <t>Ref Form-No</t>
  </si>
  <si>
    <t>PARTICULARS</t>
  </si>
  <si>
    <t>Total</t>
  </si>
  <si>
    <t>T1/D1</t>
  </si>
  <si>
    <t>PRINCIPAL</t>
  </si>
  <si>
    <t>INTEREST</t>
  </si>
  <si>
    <t xml:space="preserve">          DEMAND</t>
  </si>
  <si>
    <t>COLLECTION</t>
  </si>
  <si>
    <t>KPCL</t>
  </si>
  <si>
    <t>Kalinadi(Nagajari)</t>
  </si>
  <si>
    <t>Ghataprabha(GDPH)</t>
  </si>
  <si>
    <t>Mallapur &amp; Others</t>
  </si>
  <si>
    <t>Kadra Dam</t>
  </si>
  <si>
    <t>Kodasalli Dam</t>
  </si>
  <si>
    <t>Gerusoppa/STRP</t>
  </si>
  <si>
    <t>Almatti</t>
  </si>
  <si>
    <t>Thermal</t>
  </si>
  <si>
    <t>KPCL-Thermal</t>
  </si>
  <si>
    <t>Total KPCL purchase</t>
  </si>
  <si>
    <t>Central Projects</t>
  </si>
  <si>
    <t>NTPC-Talcher</t>
  </si>
  <si>
    <t>NLC TPS2-Stage 1</t>
  </si>
  <si>
    <t>NLC TPS2-Stage 2</t>
  </si>
  <si>
    <t>NOTE: 1) Details to be furnished Divisionwise, Circlewise, Zonewise and Licensee as a whole.</t>
  </si>
  <si>
    <t xml:space="preserve">           2) The effect of one time actions such as securitisation may be clearly indicated through a foot note.</t>
  </si>
  <si>
    <t>Subsidy receivable from GOVT.</t>
  </si>
  <si>
    <t>LT2(a)(I)</t>
  </si>
  <si>
    <t>LT2(a)(III)</t>
  </si>
  <si>
    <t>LT2(b)(II)</t>
  </si>
  <si>
    <t>LT 3(I)</t>
  </si>
  <si>
    <r>
      <t xml:space="preserve">Plant and Machinery </t>
    </r>
    <r>
      <rPr>
        <sz val="10"/>
        <rFont val="Arial"/>
        <family val="2"/>
      </rPr>
      <t>Substation Transformers, Circuit breakers, other fixed apparatus of rating 100 MVA and below</t>
    </r>
  </si>
  <si>
    <t>Substation Transformers, Circuit breakers, other fixed apparatus of rating above 100 MVA .</t>
  </si>
  <si>
    <t>LT-5</t>
  </si>
  <si>
    <t>Total Funds available for Capital Expenditure (I+II+III)</t>
  </si>
  <si>
    <t>V</t>
  </si>
  <si>
    <t>LT 6(a)</t>
  </si>
  <si>
    <t>LT 7</t>
  </si>
  <si>
    <t>Employee cost relating to previous year</t>
  </si>
  <si>
    <t>LT 3(III)</t>
  </si>
  <si>
    <t>(i) Depreciation</t>
  </si>
  <si>
    <t>(ii) Amortisation of Deferred Cost</t>
  </si>
  <si>
    <t>LT-7</t>
  </si>
  <si>
    <t>Commercial</t>
  </si>
  <si>
    <t>NOTE:</t>
  </si>
  <si>
    <t>Category</t>
  </si>
  <si>
    <t>Consumer  Category Particulars</t>
  </si>
  <si>
    <t>Add: Opening Cash &amp; Bank balances</t>
  </si>
  <si>
    <t>IX</t>
  </si>
  <si>
    <t>Closing Cash &amp; Bank Balances (VII+VIII)</t>
  </si>
  <si>
    <t>Sl. No.</t>
  </si>
  <si>
    <t>Ref Form No</t>
  </si>
  <si>
    <t>Other Income</t>
  </si>
  <si>
    <t>Particulars of Assets</t>
  </si>
  <si>
    <t>Year of Acquisition</t>
  </si>
  <si>
    <t xml:space="preserve">Original Cost of the Asset </t>
  </si>
  <si>
    <t>Year of Sale</t>
  </si>
  <si>
    <t>Advance against depreciation</t>
  </si>
  <si>
    <t>Computer Rentals/Maintenance charges</t>
  </si>
  <si>
    <t>Provisions for bad and dobutful debts</t>
  </si>
  <si>
    <t>Misecellaneous losses and write offs</t>
  </si>
  <si>
    <t>Material cost variance</t>
  </si>
  <si>
    <t>Short/excess provision of depreciation</t>
  </si>
  <si>
    <t>VI</t>
  </si>
  <si>
    <t>Net Increase/(Decrease) in Investments</t>
  </si>
  <si>
    <t>VII</t>
  </si>
  <si>
    <t>Net Increase/(Decrease) in Cash &amp; Bank Balance (IV - V - VI)</t>
  </si>
  <si>
    <t>VIII</t>
  </si>
  <si>
    <t>(iii) Amortisation of Intangible Assets</t>
  </si>
  <si>
    <t>(iv) Investment Allowance Reserve</t>
  </si>
  <si>
    <t>Total  of B</t>
  </si>
  <si>
    <t>(ii)</t>
  </si>
  <si>
    <t>Total of C</t>
  </si>
  <si>
    <t>COLLECTION %</t>
  </si>
  <si>
    <t>BMAZ</t>
  </si>
  <si>
    <t>A</t>
  </si>
  <si>
    <t>BANGALORE SOUTH CIRCLE</t>
  </si>
  <si>
    <t>EAST DIVISION</t>
  </si>
  <si>
    <t>WEST DIVISON</t>
  </si>
  <si>
    <t>etc</t>
  </si>
  <si>
    <t>B</t>
  </si>
  <si>
    <t>BANGALORE NORTH CIRCLE</t>
  </si>
  <si>
    <t>NORTH DIVISON</t>
  </si>
  <si>
    <t>(b) Foreign currency Loans/Creditrs</t>
  </si>
  <si>
    <t>Period of Lease (Years)</t>
  </si>
  <si>
    <t>Annual Lease payments</t>
  </si>
  <si>
    <t>Remarks</t>
  </si>
  <si>
    <t>Transformers accessories circuit breakers</t>
  </si>
  <si>
    <t>Form D9A</t>
  </si>
  <si>
    <t>Interest &amp; Finance charges Capitalised</t>
  </si>
  <si>
    <t>Other expenses capitalised:</t>
  </si>
  <si>
    <t>Employee Costs</t>
  </si>
  <si>
    <t>Administration  and General Expenses</t>
  </si>
  <si>
    <t>BALANCE SHEET AS AT THE END OF THE YEAR</t>
  </si>
  <si>
    <t>Repayment of principal</t>
  </si>
  <si>
    <t>Interest for the year</t>
  </si>
  <si>
    <t>Closing Bal</t>
  </si>
  <si>
    <t>Institution</t>
  </si>
  <si>
    <t>Opening Balance</t>
  </si>
  <si>
    <t>New loan addition</t>
  </si>
  <si>
    <t>c) PAYMENTS DUE ON CAPITAL LIABILITIES</t>
  </si>
  <si>
    <t>TOTAL OF B</t>
  </si>
  <si>
    <t>NET CURRENT ASSETS (A - B)</t>
  </si>
  <si>
    <t>CASH FLOW STATEMENT FOR THE YEAR</t>
  </si>
  <si>
    <t>SL NO</t>
  </si>
  <si>
    <t>I</t>
  </si>
  <si>
    <t>Net Funds from Operations:</t>
  </si>
  <si>
    <t>Other expenses/income relating to prior periods</t>
  </si>
  <si>
    <t>A-2</t>
  </si>
  <si>
    <t>2009-10</t>
  </si>
  <si>
    <t>a) GROSS BLOCK</t>
  </si>
  <si>
    <t>c) NET FIXED ASSETS</t>
  </si>
  <si>
    <t>T17/D17</t>
  </si>
  <si>
    <t>Sl no</t>
  </si>
  <si>
    <t>No. of Employees per consumer</t>
  </si>
  <si>
    <t>No. of units in Mu sold per employee</t>
  </si>
  <si>
    <t>Public Water Supply and Sewage Pumping</t>
  </si>
  <si>
    <t>HT 2 a</t>
  </si>
  <si>
    <t>Industrial , Non- industrial &amp; Non-commercial Purposes</t>
  </si>
  <si>
    <t>Railways</t>
  </si>
  <si>
    <t>HT 2 b</t>
  </si>
  <si>
    <t xml:space="preserve">HT 3 a </t>
  </si>
  <si>
    <t xml:space="preserve">LT 1 </t>
  </si>
  <si>
    <t>Irrigation &amp; Agricultural farms, LI Societies</t>
  </si>
  <si>
    <t>HT 3 b</t>
  </si>
  <si>
    <t>Irri.&amp; Agri farms, LI Societies, &amp; Govt. Horti. Farms, Pvt Horti Nursery</t>
  </si>
  <si>
    <t>HT 4</t>
  </si>
  <si>
    <t>Book value at the time of the sale</t>
  </si>
  <si>
    <t>Interest on loans/advances to suppliers/ Contractors</t>
  </si>
  <si>
    <t>Interest on loans to Societies</t>
  </si>
  <si>
    <t>Income from Trading:</t>
  </si>
  <si>
    <t>Profit on sale, hire etc of apparatus</t>
  </si>
  <si>
    <t>Hire charges from Contractotrs</t>
  </si>
  <si>
    <t>Shiva</t>
  </si>
  <si>
    <t>Shimsa</t>
  </si>
  <si>
    <t>Munirabad</t>
  </si>
  <si>
    <t>MGHE-Jog</t>
  </si>
  <si>
    <t>H</t>
  </si>
  <si>
    <t>J</t>
  </si>
  <si>
    <t>K</t>
  </si>
  <si>
    <t>Net prior period Credit/(Charges)</t>
  </si>
  <si>
    <t>Additions during the Year</t>
  </si>
  <si>
    <t>Consumers Contribution</t>
  </si>
  <si>
    <t>Additions during the year</t>
  </si>
  <si>
    <t>Retirement of assets during the year</t>
  </si>
  <si>
    <t>Consumer constribution assets</t>
  </si>
  <si>
    <t>Net Funds from Operations  before Subsidies &amp; Grants (5-6)</t>
  </si>
  <si>
    <t>LT-1</t>
  </si>
  <si>
    <t>LT-2</t>
  </si>
  <si>
    <t>Surplus to be allocated other ESCOMs</t>
  </si>
  <si>
    <t>FY-11</t>
  </si>
  <si>
    <t>FY-12</t>
  </si>
  <si>
    <t>FY-13</t>
  </si>
  <si>
    <t>Withdrawal of Revenue Demand</t>
  </si>
  <si>
    <t>Withdrawal of Revenue Demand ans receipts from consumes relating to prior periods</t>
  </si>
  <si>
    <t>Net Increase /(Decrease) in Capital Liabilities:</t>
  </si>
  <si>
    <t>(a) State Loans</t>
  </si>
  <si>
    <t>Village Panchayath</t>
  </si>
  <si>
    <t>LT2(b)(I)</t>
  </si>
  <si>
    <t>City Corporations and Local Area</t>
  </si>
  <si>
    <t>Village Panchayath Area</t>
  </si>
  <si>
    <t>MAPS</t>
  </si>
  <si>
    <t>Sub-total (14 to 15)</t>
  </si>
  <si>
    <t>Extraordinary Items</t>
  </si>
  <si>
    <t>PROVISION FOR TAXES</t>
  </si>
  <si>
    <t>Revenue from tariffs &amp; Miscell. Charges</t>
  </si>
  <si>
    <t>NOTE: 1) INFORMATION TO BE FURNISHED DIVISIONWISE WITH CIRCLE AND ZONEWISE TOTALS</t>
  </si>
  <si>
    <t xml:space="preserve">           2) ADDITIONAL INFORMATION TARIFFWISE TO BE FURNISHED IN FORM -D18A</t>
  </si>
  <si>
    <t xml:space="preserve">           3) TRANSMISSION LICENSEE SHALL PROVIDE THE INFORAMTION DISTRIBUTION LICENSEEWISE</t>
  </si>
  <si>
    <t>Form-D18A</t>
  </si>
  <si>
    <r>
      <t>Less:</t>
    </r>
    <r>
      <rPr>
        <sz val="10"/>
        <rFont val="Arial"/>
        <family val="2"/>
      </rPr>
      <t xml:space="preserve"> Interest &amp; other expenses capitalised</t>
    </r>
  </si>
  <si>
    <t>DIVISION/ CIRCLE/ ZONE</t>
  </si>
  <si>
    <t>TARIFF CATEGORY</t>
  </si>
  <si>
    <t>LT1(a)</t>
  </si>
  <si>
    <t>LT1(b)</t>
  </si>
  <si>
    <t>LT1( c)</t>
  </si>
  <si>
    <t>LT2(b)</t>
  </si>
  <si>
    <t>HT1</t>
  </si>
  <si>
    <t>HT2</t>
  </si>
  <si>
    <t>c) CASH &amp; BANK BALANCES</t>
  </si>
  <si>
    <t>e) SUNDRY RECEIVABLES</t>
  </si>
  <si>
    <t>TOTAL OF A</t>
  </si>
  <si>
    <t>B. CURRENT LIABILITIES AND PROVISIONS:</t>
  </si>
  <si>
    <t>a) SECURITY DEPOSIT FROM CONSUMERS</t>
  </si>
  <si>
    <t>b) BORROWINGS FOR WORKING CAPITAL</t>
  </si>
  <si>
    <t>SOURCES OF FUNDS:</t>
  </si>
  <si>
    <t>SHAREHOLDER'S FUNDS:</t>
  </si>
  <si>
    <t>SHARE CAPITAL</t>
  </si>
  <si>
    <t>RESERVES &amp; SURPLUS</t>
  </si>
  <si>
    <t>REPAIRS &amp; MAINTENANCE</t>
  </si>
  <si>
    <t>Receipts from Revenue Subsidies and Grants</t>
  </si>
  <si>
    <t>Tot I</t>
  </si>
  <si>
    <t xml:space="preserve">Working </t>
  </si>
  <si>
    <t xml:space="preserve">Rs in Crores </t>
  </si>
  <si>
    <t>Board of directors</t>
  </si>
  <si>
    <t>Chief Engineer &amp; equivalents</t>
  </si>
  <si>
    <t>Substation Transformers, Circuit breakers, other fixed apparatus of rating below 100 MVA .</t>
  </si>
  <si>
    <t>Service lines</t>
  </si>
  <si>
    <t>Metering equipment</t>
  </si>
  <si>
    <t>Income Tax payment during the year</t>
  </si>
  <si>
    <t>Total of A</t>
  </si>
  <si>
    <t>IPPs-Major</t>
  </si>
  <si>
    <t>Depreciation</t>
  </si>
  <si>
    <r>
      <t>1.</t>
    </r>
    <r>
      <rPr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 </t>
    </r>
  </si>
  <si>
    <r>
      <t>2.</t>
    </r>
    <r>
      <rPr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 </t>
    </r>
  </si>
  <si>
    <r>
      <t>3.</t>
    </r>
    <r>
      <rPr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 </t>
    </r>
  </si>
  <si>
    <r>
      <t>4.</t>
    </r>
    <r>
      <rPr>
        <sz val="10"/>
        <rFont val="Times New Roman"/>
        <family val="1"/>
      </rPr>
      <t xml:space="preserve">      </t>
    </r>
    <r>
      <rPr>
        <b/>
        <sz val="10"/>
        <rFont val="Arial"/>
        <family val="2"/>
      </rPr>
      <t> </t>
    </r>
  </si>
  <si>
    <t>T9/D9</t>
  </si>
  <si>
    <t>INTEREST &amp; FINANCE CHARGES</t>
  </si>
  <si>
    <t>SUB-TOTAL</t>
  </si>
  <si>
    <t>T10/D10</t>
  </si>
  <si>
    <t>LESS: EXPENSES CAPITALISED:</t>
  </si>
  <si>
    <t xml:space="preserve">  -INTEREST &amp; FINANCE CHARGES CAPITALISED</t>
  </si>
  <si>
    <t xml:space="preserve">  -OTHER EXPENSES CAPITALISED</t>
  </si>
  <si>
    <t>T11/D11</t>
  </si>
  <si>
    <t>T2/D2</t>
  </si>
  <si>
    <t>ENERGY SOLD                (MU)</t>
  </si>
  <si>
    <t>Commission for collection of electricity duty</t>
  </si>
  <si>
    <t>j</t>
  </si>
  <si>
    <t>Misc. recoveries</t>
  </si>
  <si>
    <t>k</t>
  </si>
  <si>
    <t>Total loan at the end of theyear</t>
  </si>
  <si>
    <t>BESCOM : REVENUE REQUIREMENT &amp; REVENUE GAP</t>
  </si>
  <si>
    <t>Source</t>
  </si>
  <si>
    <t>Particulars</t>
  </si>
  <si>
    <t>BANGALORE ELECTRICITY SUPPLY COMPANY LIMITED</t>
  </si>
  <si>
    <t>b) Assets not in use - reissued for works</t>
  </si>
  <si>
    <t>OTHER DEBITS (incl. Bad debts)</t>
  </si>
  <si>
    <t>T12/D12</t>
  </si>
  <si>
    <t>EXTRAORDINARY ITEMS</t>
  </si>
  <si>
    <t>TOTAL EXPENDITURE</t>
  </si>
  <si>
    <t>PROFIT (LOSS) BEFORE TAX</t>
  </si>
  <si>
    <t>PROFIT (LOSS) AFTER TAX</t>
  </si>
  <si>
    <t>T13/D13</t>
  </si>
  <si>
    <t>INCOME</t>
  </si>
  <si>
    <t>REVENUE FROM SALE OF POWER</t>
  </si>
  <si>
    <t>T3/D3</t>
  </si>
  <si>
    <t>GRAND TOTAL</t>
  </si>
  <si>
    <t>APPLICATION OF FUNDS:</t>
  </si>
  <si>
    <t>NET FIXED ASSETS:</t>
  </si>
  <si>
    <t>T15/D15</t>
  </si>
  <si>
    <t>Bescom- Total</t>
  </si>
  <si>
    <t>Extraordinary Credits(incl.</t>
  </si>
  <si>
    <t>subsidies aganst losses due to natural disasters</t>
  </si>
  <si>
    <t>TOTAL CREDITS</t>
  </si>
  <si>
    <t>Total capital expenditure for the year</t>
  </si>
  <si>
    <t>Less: Expenditure Capitalised (Transferred to Form-T15/D15)</t>
  </si>
  <si>
    <t>Closing Balance</t>
  </si>
  <si>
    <t>LT2(a)</t>
  </si>
  <si>
    <t>Staff Welfare expenses</t>
  </si>
  <si>
    <t>Terminal Benefits</t>
  </si>
  <si>
    <t>Asst Engineers &amp; equivalents</t>
  </si>
  <si>
    <t xml:space="preserve">All other staff </t>
  </si>
  <si>
    <t xml:space="preserve">Note: </t>
  </si>
  <si>
    <t>All numbers of employees should be given on a consistent  year-end-basis.</t>
  </si>
  <si>
    <t>R&amp;M on Old assets</t>
  </si>
  <si>
    <t>R&amp;M on New assets</t>
  </si>
  <si>
    <t>Details</t>
  </si>
  <si>
    <t>Sale of Power (MU)</t>
  </si>
  <si>
    <t>Loss %</t>
  </si>
  <si>
    <t>Receipts</t>
  </si>
  <si>
    <t>RE subsidy from Govt.</t>
  </si>
  <si>
    <t>Expenditure</t>
  </si>
  <si>
    <t>R&amp;M Expense</t>
  </si>
  <si>
    <t>A&amp;G Expense</t>
  </si>
  <si>
    <t>Interest &amp; Finance Charges</t>
  </si>
  <si>
    <t>e</t>
  </si>
  <si>
    <t>Interest from Banks</t>
  </si>
  <si>
    <t>f</t>
  </si>
  <si>
    <t xml:space="preserve"> FY-12</t>
  </si>
  <si>
    <t xml:space="preserve"> FY-13</t>
  </si>
  <si>
    <t>Other Debits (incl. Prov for Bad debts)</t>
  </si>
  <si>
    <t>Private Residential Apartments</t>
  </si>
  <si>
    <t>Electricity duty recovery/Other State levies recovered</t>
  </si>
  <si>
    <t>Misc Charges from Consumers</t>
  </si>
  <si>
    <t>Fuse of calls</t>
  </si>
  <si>
    <t>Reconnection Fee</t>
  </si>
  <si>
    <t xml:space="preserve">Bangalore Metropolitan Area </t>
  </si>
  <si>
    <t xml:space="preserve">Other than Bangalore Metropolitan Area </t>
  </si>
  <si>
    <t>Pvt. Lift Irrigation Schemes and Socities</t>
  </si>
  <si>
    <t>LT Total</t>
  </si>
  <si>
    <t>HT 1</t>
  </si>
  <si>
    <t>Equity &amp; Reserve and Surplus</t>
  </si>
  <si>
    <t>Net Funds from Earnings  (A+B-C)</t>
  </si>
  <si>
    <t>Interest on staff loans and advances</t>
  </si>
  <si>
    <t>Income from Investments:</t>
  </si>
  <si>
    <t>a</t>
  </si>
  <si>
    <t>Interest on securities</t>
  </si>
  <si>
    <t>b</t>
  </si>
  <si>
    <t>Interest on Bank fixed deposits</t>
  </si>
  <si>
    <t>c</t>
  </si>
  <si>
    <t>Income on other investments</t>
  </si>
  <si>
    <t>d</t>
  </si>
  <si>
    <t>(i) Depreciation (incldg AAD)</t>
  </si>
  <si>
    <t>Annual Revenue Requirement (2)+(3)+(5)-(4)</t>
  </si>
  <si>
    <t>Hydraulic works</t>
  </si>
  <si>
    <t>Lines, Cable Network, etc</t>
  </si>
  <si>
    <t>Operating expenses of previous year</t>
  </si>
  <si>
    <t>T5/D5</t>
  </si>
  <si>
    <t>Inter ESCOM sales</t>
  </si>
  <si>
    <t>(a) On Projects</t>
  </si>
  <si>
    <t>( c) Intangible Assets</t>
  </si>
  <si>
    <t>(d) Defered Costs</t>
  </si>
  <si>
    <t>Total of V</t>
  </si>
  <si>
    <t>LOAN FUNDS:</t>
  </si>
  <si>
    <t>LOANS FROM STATE GOVT</t>
  </si>
  <si>
    <t xml:space="preserve">LOANS FROM OTHERS- SECURED              </t>
  </si>
  <si>
    <t xml:space="preserve">LOANS FROM OTHERS- UNSECURED           </t>
  </si>
  <si>
    <t xml:space="preserve">Total </t>
  </si>
  <si>
    <t>T14/D14</t>
  </si>
  <si>
    <t>CONTRIBUTIONS, GRANTS &amp; SUBSIDIES TOWARDS COST OF CAPITAL ASSSETS</t>
  </si>
  <si>
    <t>Private Professional educational institutions</t>
  </si>
  <si>
    <t>LT 3</t>
  </si>
  <si>
    <t>Commercial and Non Industrial Light and Fan</t>
  </si>
  <si>
    <t>LT 4 (a)</t>
  </si>
  <si>
    <t>Grand Total</t>
  </si>
  <si>
    <t>Non-Tariff Income (Other Income)</t>
  </si>
  <si>
    <t>GAP</t>
  </si>
  <si>
    <t xml:space="preserve">Employee Costs </t>
  </si>
  <si>
    <t>Overtime</t>
  </si>
  <si>
    <t>Sub-Total (1 to 5)</t>
  </si>
  <si>
    <t>Leave travel Assistance</t>
  </si>
  <si>
    <t>Payment towrds PF</t>
  </si>
  <si>
    <t>Payment under Workmen's Compensation Act</t>
  </si>
  <si>
    <t>Profit on sale of stores</t>
  </si>
  <si>
    <t>Sale of Scrap</t>
  </si>
  <si>
    <t>Income/Fees collections against staff welfare activities:</t>
  </si>
  <si>
    <t>Recoveries for transport facilities</t>
  </si>
  <si>
    <t>Miscellaneous Receipts:</t>
  </si>
  <si>
    <t>Income due to right of way granted for laying fibre optic cables/co-axial cables on T&amp;D system</t>
  </si>
  <si>
    <t>Rental from Staff Quarters</t>
  </si>
  <si>
    <t>b) Receivables against sale of power</t>
  </si>
  <si>
    <t>c) Loans and Advances</t>
  </si>
  <si>
    <t>d) Sundry Receivables</t>
  </si>
  <si>
    <t>Total of  A</t>
  </si>
  <si>
    <t>a) Borrowings for working capital</t>
  </si>
  <si>
    <t>LT-3</t>
  </si>
  <si>
    <t>Nil</t>
  </si>
  <si>
    <t>Other items ( On Released assests &amp; assets in the stores)</t>
  </si>
  <si>
    <t xml:space="preserve">     Loans and Debentures and interest charges </t>
  </si>
  <si>
    <t>Interest on working capital</t>
  </si>
  <si>
    <t>Secured Loans</t>
  </si>
  <si>
    <t>Extraordinary Debits (incl.</t>
  </si>
  <si>
    <t>TOTAL DEBITS</t>
  </si>
  <si>
    <t>Retail supply business</t>
  </si>
  <si>
    <t>Distribution wires business</t>
  </si>
  <si>
    <t>Superintending Engineers &amp; equivalents</t>
  </si>
  <si>
    <t>Executive Engineers &amp; equivalents</t>
  </si>
  <si>
    <t>Asst Executive Engineers &amp; equivalents</t>
  </si>
  <si>
    <t>Other income ( Depreciatin with drawn from contributins as per AS12</t>
  </si>
  <si>
    <t>Guarantee commission to GoK</t>
  </si>
  <si>
    <t>Interest  to Consumers</t>
  </si>
  <si>
    <t>Other Interest and finance charges</t>
  </si>
  <si>
    <t>e) SUNDRY CREDITORS-POWER PURCHASE</t>
  </si>
  <si>
    <t>g)PROVISION FOR IT and FBT</t>
  </si>
  <si>
    <t>Towers, Poles, fixture, overhead condictors,UG cables and devices</t>
  </si>
  <si>
    <t>HT</t>
  </si>
  <si>
    <t>Net Increase/(Decrease) in Working Capital:</t>
  </si>
  <si>
    <t>a) Inventories</t>
  </si>
  <si>
    <t>Net Funds from Earnings:</t>
  </si>
  <si>
    <t>Less:</t>
  </si>
  <si>
    <t>Subsidy and Grants</t>
  </si>
  <si>
    <t>Service connection charges</t>
  </si>
  <si>
    <t>Other receipts</t>
  </si>
  <si>
    <t>Total B</t>
  </si>
  <si>
    <t>Total C</t>
  </si>
  <si>
    <t>D</t>
  </si>
  <si>
    <t>Particulars of assets</t>
  </si>
  <si>
    <t>Depreciation provided for the year</t>
  </si>
  <si>
    <t xml:space="preserve">Withdrawal of depreciation  </t>
  </si>
  <si>
    <t>Balance at the end of the year</t>
  </si>
  <si>
    <t>Land and rights</t>
  </si>
  <si>
    <t>Building and structures</t>
  </si>
  <si>
    <t>Prior period credits/charges</t>
  </si>
  <si>
    <t>Bhagya Jyoti/ Kutira Jyoti</t>
  </si>
  <si>
    <t>LT 2 (a)</t>
  </si>
  <si>
    <t>All Electric Homes (AEH) &amp; Domestic Lighting</t>
  </si>
  <si>
    <t>LT 2 (b)</t>
  </si>
  <si>
    <t>DISTRIBUTION LOSS                      (%)</t>
  </si>
  <si>
    <t>Energy Available at interface point (MU)</t>
  </si>
  <si>
    <t>ENERGY AVAILABLE  AT INTERFACE POINTS  (MU)</t>
  </si>
  <si>
    <t>MANGALORE ZONE</t>
  </si>
  <si>
    <t>TOTAL OF ALL ZONES</t>
  </si>
  <si>
    <t>BESCOM</t>
  </si>
  <si>
    <t>b)  Other Current liabilities - Power purchase</t>
  </si>
  <si>
    <t xml:space="preserve">                                       - Others</t>
  </si>
  <si>
    <t>Total of  B</t>
  </si>
  <si>
    <t>Net Increase/(Decrease) in Working Capital    (A - B)</t>
  </si>
  <si>
    <t xml:space="preserve">DEPRECIATION AND RELATED DTS </t>
  </si>
  <si>
    <t>Solar</t>
  </si>
  <si>
    <t>Rental from others</t>
  </si>
  <si>
    <t>Leave contribution</t>
  </si>
  <si>
    <t>Excess found on physical verification of cash</t>
  </si>
  <si>
    <t>Bescom - Total</t>
  </si>
  <si>
    <t>Surplus(+) / Shortfall(-) : (8)-(7)</t>
  </si>
  <si>
    <t>LESS:</t>
  </si>
  <si>
    <t>Small and Low value items written off</t>
  </si>
  <si>
    <t>( c) Other Borrowings</t>
  </si>
  <si>
    <t>Repayment of Principal</t>
  </si>
  <si>
    <t>Total of B</t>
  </si>
  <si>
    <t>Net Increase /(Decrease) in Capital Liabilities (A - B)</t>
  </si>
  <si>
    <t>III</t>
  </si>
  <si>
    <t>Increase/(Decrease) in Equity Capital</t>
  </si>
  <si>
    <t>IV</t>
  </si>
  <si>
    <t>Revenue Subsidies  and Grants</t>
  </si>
  <si>
    <t>RE Subsidies</t>
  </si>
  <si>
    <t>Grants for Research and Development Expenses</t>
  </si>
  <si>
    <t>Grant for Survey  and Investigation</t>
  </si>
  <si>
    <t>Others</t>
  </si>
  <si>
    <t xml:space="preserve">Net Prior Period Credit/(Charges) </t>
  </si>
  <si>
    <t>Form-D18</t>
  </si>
  <si>
    <t>Receivables against Sale of Power</t>
  </si>
  <si>
    <t>NAME OF ZONE/CIRCLE/ DIVISION</t>
  </si>
  <si>
    <t>OPENING BALANCE</t>
  </si>
  <si>
    <t>Average Cost of Supply (in paise)</t>
  </si>
  <si>
    <t>Net Funds from Operations  including Subsidies &amp; Grants (7+8)</t>
  </si>
  <si>
    <t>II</t>
  </si>
  <si>
    <t>(Rs. in Crores)</t>
  </si>
  <si>
    <t>LT-4</t>
  </si>
  <si>
    <t>Interest payable on Power Purchases</t>
  </si>
  <si>
    <t>i</t>
  </si>
  <si>
    <t>Information shal be provided voltage class ( 400 KV, 220 KV, 132 KV, 66 KV, 33 KV, 11 KV and below)</t>
  </si>
  <si>
    <t>Jurala</t>
  </si>
  <si>
    <t>Bad debts written off</t>
  </si>
  <si>
    <t>Payment to Helpers/ Employeees of Storm and Monsoon Gang</t>
  </si>
  <si>
    <t>Total Other staff costs ( 7 to 12)</t>
  </si>
  <si>
    <t>Number</t>
  </si>
  <si>
    <t>Cost</t>
  </si>
  <si>
    <t xml:space="preserve">Plant and Machinery </t>
  </si>
  <si>
    <t>Line Cables and networks</t>
  </si>
  <si>
    <t>year(09-10)</t>
  </si>
  <si>
    <t>Other Civil Works</t>
  </si>
  <si>
    <t>Furniture Fixtures</t>
  </si>
  <si>
    <t>GULBARGA ZONE</t>
  </si>
  <si>
    <t xml:space="preserve">(v) Others, if any. </t>
  </si>
  <si>
    <t>Profit before Tax (adjusted priod period)</t>
  </si>
  <si>
    <t>Cash resources available from share premium account or from internal resources to fund the equity commitments.</t>
  </si>
  <si>
    <t>Total (1+2)</t>
  </si>
  <si>
    <t>WEST DIVISION</t>
  </si>
  <si>
    <t>No. of installations</t>
  </si>
  <si>
    <t>Consumption</t>
  </si>
  <si>
    <t>Consumption per Installation</t>
  </si>
  <si>
    <t>O.B.</t>
  </si>
  <si>
    <t xml:space="preserve">Demand </t>
  </si>
  <si>
    <t>Demand per kwh</t>
  </si>
  <si>
    <t>Collection</t>
  </si>
  <si>
    <t>C.B.</t>
  </si>
  <si>
    <t>TOTAL FOR BANGALORE CIRCLE</t>
  </si>
  <si>
    <t>Misc equipment</t>
  </si>
  <si>
    <t xml:space="preserve">Other items </t>
  </si>
  <si>
    <t xml:space="preserve">FRESH BORROWINGS FOR CAPEX </t>
  </si>
  <si>
    <t>Vehicle running expenses</t>
  </si>
  <si>
    <t>Excess found on physical verification of stock</t>
  </si>
  <si>
    <t>g</t>
  </si>
  <si>
    <t>Till Meters are fixed (General)</t>
  </si>
  <si>
    <t xml:space="preserve">Urban Feeder </t>
  </si>
  <si>
    <t>Transformers:                                                                                                (a) repairs and maintenance made departmentally                                                  (b)  repairs and maintenance by private agencies</t>
  </si>
  <si>
    <t>Grants towards cost of Capital Assets*</t>
  </si>
  <si>
    <t>Revenue from sale of power</t>
  </si>
  <si>
    <t>Employee Expenses</t>
  </si>
  <si>
    <t>FOR THE YEAR</t>
  </si>
  <si>
    <t>CLOSING BALANCE</t>
  </si>
  <si>
    <t>T16/D16</t>
  </si>
  <si>
    <t>E</t>
  </si>
  <si>
    <t>d) CAPITAL WORK IN PROGRESS</t>
  </si>
  <si>
    <t>e) ASSETS NOT IN USE</t>
  </si>
  <si>
    <t>f) DEFERRED COSTS</t>
  </si>
  <si>
    <t>g) INTANGIBLE ASSETS</t>
  </si>
  <si>
    <t>TOTAL OF ( c) TO (g)</t>
  </si>
  <si>
    <t>INVESTMENTS</t>
  </si>
  <si>
    <t>SUBSIDY RECEIVABLE FROM GOVT</t>
  </si>
  <si>
    <t>NET CURRENT ASSETS:</t>
  </si>
  <si>
    <t>a) INVENTORIES</t>
  </si>
  <si>
    <t>T18/D18</t>
  </si>
  <si>
    <t>b) RECEIVABLES AGAINST SALE OF POWER</t>
  </si>
  <si>
    <t>Funds Utilised on Capital Expenditure:</t>
  </si>
  <si>
    <t>Since allocation of leased asset has not yet been finalised in respect of each Company, the details</t>
  </si>
  <si>
    <t xml:space="preserve">   in this format is not furnished</t>
  </si>
  <si>
    <t>Opening balance</t>
  </si>
  <si>
    <t xml:space="preserve">Add: </t>
  </si>
  <si>
    <t>i) Capital expenditure</t>
  </si>
  <si>
    <t>ii) Interest &amp; Finance charges capitalised</t>
  </si>
  <si>
    <t>iii) Other expenses capitalised</t>
  </si>
  <si>
    <t>Fund towards Conumer relations/Consumer Education</t>
  </si>
  <si>
    <t>Energy</t>
  </si>
  <si>
    <t>No. of installations for which commercial losses identified and assessed</t>
  </si>
  <si>
    <t>2010-11</t>
  </si>
  <si>
    <t>D-9</t>
  </si>
  <si>
    <t>Form-D15</t>
  </si>
  <si>
    <t xml:space="preserve"> Gross Fixed Assets </t>
  </si>
  <si>
    <t>Form-D16</t>
  </si>
  <si>
    <t>Form D17</t>
  </si>
  <si>
    <t>Works in Progress - Distribution</t>
  </si>
  <si>
    <t>D-19A</t>
  </si>
  <si>
    <t>Form-D14</t>
  </si>
  <si>
    <t xml:space="preserve">Contributions, Grants and Subsidies towards cost of Capital Assets </t>
  </si>
  <si>
    <t>A-3</t>
  </si>
  <si>
    <t>Rate of Depreciation</t>
  </si>
  <si>
    <t>Less: accumulated losses if any</t>
  </si>
  <si>
    <t>(Note:  To be  considered for Bescom - Combined also)</t>
  </si>
  <si>
    <t xml:space="preserve">No of Instns. </t>
  </si>
  <si>
    <t>Energy Sold (MU)</t>
  </si>
  <si>
    <t>Revenue (Rs in Crs)</t>
  </si>
  <si>
    <t>Avge. Realn. (Paise/unit)</t>
  </si>
  <si>
    <t>Miscellaneous Revenue</t>
  </si>
  <si>
    <t>NTPC-III</t>
  </si>
  <si>
    <t>NET PRIOR PERIOD Debits/Credits</t>
  </si>
  <si>
    <t>Additional cost on normative basis</t>
  </si>
  <si>
    <t xml:space="preserve"> Village Panchayath</t>
  </si>
  <si>
    <t>Bangalore Metropolitan Area and 5 other municipal Corp, Urban local bodies</t>
  </si>
  <si>
    <t>City Corporations and Local Area, Commercial  U L B &amp; C C</t>
  </si>
  <si>
    <t xml:space="preserve">LT 4 © </t>
  </si>
  <si>
    <t xml:space="preserve">LT 4 (b) </t>
  </si>
  <si>
    <t>FY-14</t>
  </si>
  <si>
    <t>FY-15</t>
  </si>
  <si>
    <t>FY-16</t>
  </si>
  <si>
    <t xml:space="preserve"> FY-14</t>
  </si>
  <si>
    <t xml:space="preserve"> FY-15</t>
  </si>
  <si>
    <t xml:space="preserve"> FY-16</t>
  </si>
  <si>
    <t>Energy Flow diagram separately submitted</t>
  </si>
  <si>
    <t>Form-T22/D22</t>
  </si>
  <si>
    <t xml:space="preserve">Expected Revenue when Proposed Tariff is Introduced for a Part Year </t>
  </si>
  <si>
    <t>Annexure-2</t>
  </si>
  <si>
    <t>Sl. No</t>
  </si>
  <si>
    <t>Tariff Category</t>
  </si>
  <si>
    <t>Type of Installation</t>
  </si>
  <si>
    <t>Energy Sales (MU)</t>
  </si>
  <si>
    <t>At Current Tariff</t>
  </si>
  <si>
    <t xml:space="preserve">At Proposed Tariff </t>
  </si>
  <si>
    <t>Not Applicable</t>
  </si>
  <si>
    <t>Embedded cost of service of supply of electricity</t>
  </si>
  <si>
    <t>(Rs. in Crs)</t>
  </si>
  <si>
    <t>Voltage / Consumer category</t>
  </si>
  <si>
    <t>Cost of Service of supply per Kwh</t>
  </si>
  <si>
    <t>Form-D24</t>
  </si>
  <si>
    <t>External Subsidy  (Allocation of external subsidy among consumer classes)</t>
  </si>
  <si>
    <t>Sl.No</t>
  </si>
  <si>
    <t>At Current Tariff Charges</t>
  </si>
  <si>
    <t>At Proposed Tariff Charges</t>
  </si>
  <si>
    <t>Revenue for a full year.</t>
  </si>
  <si>
    <t xml:space="preserve">External Subsidy Directly Assigned  </t>
  </si>
  <si>
    <t>ROE 15.5%(incld. MAT works out to 19.377)</t>
  </si>
  <si>
    <t>F</t>
  </si>
  <si>
    <t>G</t>
  </si>
  <si>
    <t>HT 5</t>
  </si>
  <si>
    <t>M</t>
  </si>
  <si>
    <t>N</t>
  </si>
  <si>
    <t>ARR  FOR WIRES &amp; SUPPLY BUSINESS FOR 2013-14</t>
  </si>
  <si>
    <t>HT 2(c)(I)</t>
  </si>
  <si>
    <t>HT 2(c)(II)</t>
  </si>
  <si>
    <t>HT 2 c</t>
  </si>
  <si>
    <t>No. of installations as at the beginning of the year</t>
  </si>
  <si>
    <t>Short claims of other nature pointed out [Without energy viz.;Development charges, Supervision charges, Augmentation charges etc]</t>
  </si>
  <si>
    <t>Closing Balance [8+9-10]</t>
  </si>
  <si>
    <t>Capacity in MW @ 100%</t>
  </si>
  <si>
    <t>Capacity Charges/annum(Rs in Crs)</t>
  </si>
  <si>
    <t>Primary energy charges</t>
  </si>
  <si>
    <t>Secondary energy charges</t>
  </si>
  <si>
    <t>Royalty charges</t>
  </si>
  <si>
    <t>Total Fixed charges (Crs)</t>
  </si>
  <si>
    <t>Total Energy charges (Crs)</t>
  </si>
  <si>
    <t>Total Amount    (Crs)</t>
  </si>
  <si>
    <t>Avg cost in Ps</t>
  </si>
  <si>
    <t>Allocation based GOK</t>
  </si>
  <si>
    <t>( a )</t>
  </si>
  <si>
    <t>(b+c+d)</t>
  </si>
  <si>
    <t>Sharavathi Valley Project</t>
  </si>
  <si>
    <t>Bhadra Project</t>
  </si>
  <si>
    <t>Varahi Hydro Project</t>
  </si>
  <si>
    <t>Varahi 3 &amp; 4</t>
  </si>
  <si>
    <t>Genekal</t>
  </si>
  <si>
    <t>KPCL Hydel</t>
  </si>
  <si>
    <t>Fixed cost</t>
  </si>
  <si>
    <t>variable cost</t>
  </si>
  <si>
    <t>RTPS -1 to 7</t>
  </si>
  <si>
    <t>RTPS-VIII</t>
  </si>
  <si>
    <t>Deisel Generation</t>
  </si>
  <si>
    <t>Kappathagudda</t>
  </si>
  <si>
    <t>NLC TPS1I-Expn2</t>
  </si>
  <si>
    <t>Kaiga Unit 3</t>
  </si>
  <si>
    <t>Simhadri 2</t>
  </si>
  <si>
    <t>Vallur TPS stage 2</t>
  </si>
  <si>
    <t>PGCIL(Tran Charges)</t>
  </si>
  <si>
    <t>UPCL</t>
  </si>
  <si>
    <t>UPCL Unit 2</t>
  </si>
  <si>
    <t>Rayalaseema</t>
  </si>
  <si>
    <t>Tata Co</t>
  </si>
  <si>
    <t>NCE Projects:-</t>
  </si>
  <si>
    <t>Sec 11</t>
  </si>
  <si>
    <t>Total D</t>
  </si>
  <si>
    <t xml:space="preserve">Intr  bt </t>
  </si>
  <si>
    <t>short term purchases</t>
  </si>
  <si>
    <t>UI Trading</t>
  </si>
  <si>
    <t>Sub Total</t>
  </si>
  <si>
    <t>Kptcl transmission charges</t>
  </si>
  <si>
    <t>SLDC charges</t>
  </si>
  <si>
    <t>ENERGY Balancing</t>
  </si>
  <si>
    <t>`</t>
  </si>
  <si>
    <t>Inter Escom energy charges</t>
  </si>
  <si>
    <t>Cost of  banked energy</t>
  </si>
  <si>
    <t>Vallur TPS stage 3</t>
  </si>
  <si>
    <t>Tuticorn</t>
  </si>
  <si>
    <t>Loans from REC (APDRP counter part funding)(53.3327)</t>
  </si>
  <si>
    <t>Intangable assets</t>
  </si>
  <si>
    <t>D-3</t>
  </si>
  <si>
    <t>D4</t>
  </si>
  <si>
    <t>D-5</t>
  </si>
  <si>
    <t>D-6</t>
  </si>
  <si>
    <t>D-7</t>
  </si>
  <si>
    <t>D-8</t>
  </si>
  <si>
    <t>D-11</t>
  </si>
  <si>
    <t>D-13</t>
  </si>
  <si>
    <t>D-17</t>
  </si>
  <si>
    <t>Incentives received</t>
  </si>
  <si>
    <t>Rs. Crs.</t>
  </si>
  <si>
    <t>Not claimed in ARR and the actuals may be allowed in true-up</t>
  </si>
  <si>
    <t>GMR</t>
  </si>
  <si>
    <t xml:space="preserve">prior period exp </t>
  </si>
  <si>
    <t>At interface point</t>
  </si>
  <si>
    <t>EHT(220kV/66kV)</t>
  </si>
  <si>
    <t>HT(11kV)</t>
  </si>
  <si>
    <t>LT(Below 11kV)</t>
  </si>
  <si>
    <t>Cost of Generation &amp; Power Purchase</t>
  </si>
  <si>
    <t>Wheeling/Transmission charges (EHT)</t>
  </si>
  <si>
    <t>Wheeling/distribution charges(HT)</t>
  </si>
  <si>
    <t>Wheeling/distribution charges(LT)</t>
  </si>
  <si>
    <t>Cost at Each interface Points</t>
  </si>
  <si>
    <t>Total Cost in Rs. Crs.</t>
  </si>
  <si>
    <t>Generation and Power Purchase</t>
  </si>
  <si>
    <t>Transmission</t>
  </si>
  <si>
    <t>Distribution</t>
  </si>
  <si>
    <t>Retail</t>
  </si>
  <si>
    <t>Cost in Rs. Crs.</t>
  </si>
  <si>
    <t>Summary</t>
  </si>
  <si>
    <t>EHT</t>
  </si>
  <si>
    <t>LT</t>
  </si>
  <si>
    <t>Input (MU)</t>
  </si>
  <si>
    <t>Loss (MU)</t>
  </si>
  <si>
    <t>Sales(MU)</t>
  </si>
  <si>
    <t>Loss (%)</t>
  </si>
  <si>
    <t>before tariff revision</t>
  </si>
  <si>
    <t>after tariff revision</t>
  </si>
  <si>
    <t>Soft copy submitted</t>
  </si>
  <si>
    <t>Sales</t>
  </si>
  <si>
    <t>Energy usage</t>
  </si>
  <si>
    <t>Energy transferred</t>
  </si>
  <si>
    <t>Energy Handled</t>
  </si>
  <si>
    <t>FY-17</t>
  </si>
  <si>
    <t>FY-18</t>
  </si>
  <si>
    <t>FY-19</t>
  </si>
  <si>
    <t xml:space="preserve"> FY-17</t>
  </si>
  <si>
    <t xml:space="preserve"> FY-18</t>
  </si>
  <si>
    <t xml:space="preserve"> FY-19</t>
  </si>
  <si>
    <t>R&amp;M charged to capital works (credit account)</t>
  </si>
  <si>
    <t>Employees cost charged to capital works (credit account)</t>
  </si>
  <si>
    <t>FY18</t>
  </si>
  <si>
    <t>Reversal entry as per AS12</t>
  </si>
  <si>
    <t xml:space="preserve">Total Long term loan </t>
  </si>
  <si>
    <t>Total short term loan(working Capital)</t>
  </si>
  <si>
    <t>Bescom Share in MW</t>
  </si>
  <si>
    <t>BTPS Unit I</t>
  </si>
  <si>
    <t>BTPS Unit II</t>
  </si>
  <si>
    <t>N.T.P.C-Ramagundam</t>
  </si>
  <si>
    <t>NTPC-Simhadri</t>
  </si>
  <si>
    <t>Kaiga 1&amp;2, 3&amp;4</t>
  </si>
  <si>
    <t>Vallur TPS stage 1</t>
  </si>
  <si>
    <t>kudankulam</t>
  </si>
  <si>
    <t>United telecom</t>
  </si>
  <si>
    <t>TBHE</t>
  </si>
  <si>
    <t>prior period income</t>
  </si>
  <si>
    <t>Sanctioned</t>
  </si>
  <si>
    <t>FY19</t>
  </si>
  <si>
    <t>Others (Deputation staff)</t>
  </si>
  <si>
    <t>Unbilled revenue/Addl. Sales to meet the Energy not supplied</t>
  </si>
  <si>
    <t>A-4</t>
  </si>
  <si>
    <t>Power Purchase modified</t>
  </si>
  <si>
    <t>LT 6(b)</t>
  </si>
  <si>
    <t>HT Total</t>
  </si>
  <si>
    <t xml:space="preserve">   </t>
  </si>
  <si>
    <t>BESCOM Share allocation %</t>
  </si>
  <si>
    <t>BTPS Unit III</t>
  </si>
  <si>
    <t>Yearamurus TPS</t>
  </si>
  <si>
    <t>NLC TPS1-Expn 1</t>
  </si>
  <si>
    <t>NLC TPS1-Expn 1I</t>
  </si>
  <si>
    <t>NTPL</t>
  </si>
  <si>
    <t>DVC</t>
  </si>
  <si>
    <t>PCKL Rev Exp, Posoco, Tangedco</t>
  </si>
  <si>
    <t xml:space="preserve">open access UI </t>
  </si>
  <si>
    <t>Short/excess provision of other Other income relating to prior period</t>
  </si>
  <si>
    <t>Other excess provision in prior period</t>
  </si>
  <si>
    <t>Eligibility as per normative basis</t>
  </si>
  <si>
    <t>Actuals (PROVISIONAL)</t>
  </si>
  <si>
    <t>Efficiency for reduction in distribution loss</t>
  </si>
  <si>
    <t>Short term</t>
  </si>
  <si>
    <t>P&amp;G trust</t>
  </si>
  <si>
    <t>Note: D23 as per KERC methodology has also been submitted</t>
  </si>
  <si>
    <t xml:space="preserve"> Interest</t>
  </si>
  <si>
    <t>FAC</t>
  </si>
  <si>
    <t>Un billed</t>
  </si>
  <si>
    <t>Adjustments</t>
  </si>
  <si>
    <t>NTPC VVNL Coal Bundled power</t>
  </si>
  <si>
    <t>KPCL Solar</t>
  </si>
  <si>
    <t>Solar Bundled power</t>
  </si>
  <si>
    <t>Solar rooftop (DSM)</t>
  </si>
  <si>
    <t>Sec 11 NCE</t>
  </si>
  <si>
    <t>Short term NCE</t>
  </si>
  <si>
    <t>Infirm power</t>
  </si>
  <si>
    <t>Supervision charges collected from cable operators</t>
  </si>
  <si>
    <t>Profit earned on investment PCKL</t>
  </si>
  <si>
    <t>Loans from REC ( DTc metering)</t>
  </si>
  <si>
    <t>Loan from PFC-RAPDRP (PartA)</t>
  </si>
  <si>
    <t>Loan from PFC-RAPDRP (PartB)</t>
  </si>
  <si>
    <t>Loan from PFC-RAPDRP (PartB) (counter funding)</t>
  </si>
  <si>
    <t>PFC-DRUM</t>
  </si>
  <si>
    <t>Loans from REC (NJY Phase-2 )</t>
  </si>
  <si>
    <t>REC-HVDS</t>
  </si>
  <si>
    <t>REC_UAIP</t>
  </si>
  <si>
    <t>REC-General Capex</t>
  </si>
  <si>
    <t>REC-Static meters</t>
  </si>
  <si>
    <t>REC-RGGVY-12th Plan</t>
  </si>
  <si>
    <t>REC-NJY phase-3</t>
  </si>
  <si>
    <t>REC_HVDS-Phase2</t>
  </si>
  <si>
    <t>Loan from GoK-PMGY</t>
  </si>
  <si>
    <t>Loan from  GoK-APDRP</t>
  </si>
  <si>
    <t>Loan from  GoK-Int free</t>
  </si>
  <si>
    <t>Loan from  GoK-RGGY</t>
  </si>
  <si>
    <t>loans from Commercial Bank-SBI</t>
  </si>
  <si>
    <t>Loan from Commercial Bank-BOI</t>
  </si>
  <si>
    <t>Loan from commercial bank-Canara</t>
  </si>
  <si>
    <t xml:space="preserve">Loan from commercial bank- Bank of Maharastra </t>
  </si>
  <si>
    <t>Loan from Commercial Bank-SBM</t>
  </si>
  <si>
    <t>Short term loans</t>
  </si>
  <si>
    <t>Vijaya Bank</t>
  </si>
  <si>
    <t>Corporation Bank</t>
  </si>
  <si>
    <t>SBM</t>
  </si>
  <si>
    <t>Canara Bank</t>
  </si>
  <si>
    <t>Syndicate Bank</t>
  </si>
  <si>
    <t>Bank of India</t>
  </si>
  <si>
    <t>Bank of Maharastra</t>
  </si>
  <si>
    <t>Union Bank</t>
  </si>
  <si>
    <t>BANK OVER Drafts</t>
  </si>
  <si>
    <t>Bank of Baroda</t>
  </si>
  <si>
    <t>Vijaya Banak</t>
  </si>
  <si>
    <t>State Bank of Mysore</t>
  </si>
  <si>
    <t>State Bank of India</t>
  </si>
  <si>
    <t>Over Draft Total</t>
  </si>
  <si>
    <t>Total short term loan</t>
  </si>
  <si>
    <t>Released Assets</t>
  </si>
  <si>
    <t>Fund towards Consumer relations/Consumer Education</t>
  </si>
  <si>
    <t>Total (a+b) + Expected ROE on trueup of fy17</t>
  </si>
  <si>
    <t>f) PROVISION FOR PENSION, GRATUITY,FBF etc.</t>
  </si>
  <si>
    <t>Wheeling charges recovery/CSS</t>
  </si>
  <si>
    <t>Total of III</t>
  </si>
  <si>
    <t>Gross Revenue from Sale of Power (I+II+III)</t>
  </si>
  <si>
    <t>Interest component</t>
  </si>
  <si>
    <t>Total (IV-V)</t>
  </si>
  <si>
    <t>Proposed</t>
  </si>
  <si>
    <t>FY20</t>
  </si>
  <si>
    <t>FY21</t>
  </si>
  <si>
    <t>FY-20</t>
  </si>
  <si>
    <t>FY-21</t>
  </si>
  <si>
    <t>FY-22</t>
  </si>
  <si>
    <t xml:space="preserve"> FY-20</t>
  </si>
  <si>
    <t xml:space="preserve"> FY-21</t>
  </si>
  <si>
    <t xml:space="preserve"> FY-22</t>
  </si>
  <si>
    <t>Sale and Lease Back of Assets  -  Year   (19-20)</t>
  </si>
  <si>
    <t>Sale and Lease Back of Assets  -  Year   (20-21)</t>
  </si>
  <si>
    <t>Sale and Lease Back of Assets  -  Year   (21-22)</t>
  </si>
  <si>
    <t>freight charges</t>
  </si>
  <si>
    <t>Other  operating expenses</t>
  </si>
  <si>
    <t>Earned Leave Encashment - For employees covered under Contributory Pension Scheme.</t>
  </si>
  <si>
    <t>Earned leave encashment</t>
  </si>
  <si>
    <t>E.L.Encashment - Retirement / Deceased Employees</t>
  </si>
  <si>
    <t>Loan from  Power Sector Automation</t>
  </si>
  <si>
    <t>Loan from REC APDRP (10 Towns)</t>
  </si>
  <si>
    <r>
      <t xml:space="preserve">The </t>
    </r>
    <r>
      <rPr>
        <i/>
        <sz val="11"/>
        <rFont val="Arial"/>
        <family val="2"/>
      </rPr>
      <t xml:space="preserve">Cost </t>
    </r>
    <r>
      <rPr>
        <sz val="11"/>
        <rFont val="Arial"/>
        <family val="2"/>
      </rPr>
      <t>columns should include remuneration for actual employees, not sanctioned employees.</t>
    </r>
  </si>
  <si>
    <t>Statement showing the energy purchased, cost paid and approved energy and cost for FY 18 (April 17 to Mar 18) (Prov)</t>
  </si>
  <si>
    <t>NTPC NSM Coal Bundled power</t>
  </si>
  <si>
    <t>Kudgi</t>
  </si>
  <si>
    <t>Co-generation (27)</t>
  </si>
  <si>
    <t xml:space="preserve"> Biomass (5)</t>
  </si>
  <si>
    <t xml:space="preserve"> Mini Hydel (13)</t>
  </si>
  <si>
    <t xml:space="preserve"> Wind mill (301)</t>
  </si>
  <si>
    <t>KPCL Wind</t>
  </si>
  <si>
    <t xml:space="preserve"> solar (other than KPC) </t>
  </si>
  <si>
    <t>Tangedco,</t>
  </si>
  <si>
    <t>UI</t>
  </si>
  <si>
    <t xml:space="preserve">short term </t>
  </si>
  <si>
    <t>Actuals</t>
  </si>
  <si>
    <t>Units (MU)</t>
  </si>
  <si>
    <t>Total Cost (Rs/Cr)</t>
  </si>
  <si>
    <t>KPCL Thermal</t>
  </si>
  <si>
    <t>CGS</t>
  </si>
  <si>
    <t>Major IPP</t>
  </si>
  <si>
    <t>NCE</t>
  </si>
  <si>
    <t>Purchases under UI &amp; others</t>
  </si>
  <si>
    <t>Purchases to meet the deficit(Sec11)</t>
  </si>
  <si>
    <t>Transmission, SLDC &amp; other Charges</t>
  </si>
  <si>
    <t>Energy Balancing charges</t>
  </si>
  <si>
    <t>Prior period income &amp; Exp</t>
  </si>
  <si>
    <t>Rent</t>
  </si>
  <si>
    <t>Rates and Taxes</t>
  </si>
  <si>
    <t>Insurance/fee</t>
  </si>
  <si>
    <t>Security charges</t>
  </si>
  <si>
    <t>Postage stamps &amp; Telephone charges</t>
  </si>
  <si>
    <t>Remuneration to contract agencies</t>
  </si>
  <si>
    <t>Legal, Professional and consultancy charges</t>
  </si>
  <si>
    <t>Conveyance &amp; Travel expenses</t>
  </si>
  <si>
    <t>Vsat/Internet and ralated charges</t>
  </si>
  <si>
    <t>Sub-total</t>
  </si>
  <si>
    <t>Other expenses</t>
  </si>
  <si>
    <t xml:space="preserve">Fees &amp; subscription </t>
  </si>
  <si>
    <t>Printing &amp; Stationery</t>
  </si>
  <si>
    <t>Advertisements</t>
  </si>
  <si>
    <t>Computer stationeries</t>
  </si>
  <si>
    <t>Contribution/Donations</t>
  </si>
  <si>
    <t>Electricity charges</t>
  </si>
  <si>
    <t>Water charges</t>
  </si>
  <si>
    <t>Misc expendituire</t>
  </si>
  <si>
    <t>DSM expenses</t>
  </si>
  <si>
    <t>Total other expenses</t>
  </si>
  <si>
    <t>Freight &amp; other material related expenditure</t>
  </si>
  <si>
    <t>A&amp;G capitalised</t>
  </si>
  <si>
    <t>Not claimed in  ARR and  actuals may be allowed in true-up</t>
  </si>
  <si>
    <t>Vijaya Bank STL/SBI  (OD)</t>
  </si>
  <si>
    <t>Canara Bank - HVDS</t>
  </si>
  <si>
    <t>Canara Bank - Capex</t>
  </si>
  <si>
    <t>Vijaya Bank (OD)</t>
  </si>
  <si>
    <t>REC</t>
  </si>
  <si>
    <t>HVDS</t>
  </si>
  <si>
    <t>UAIP</t>
  </si>
  <si>
    <t>GENERAL CAPEX</t>
  </si>
  <si>
    <t>FY-19(Apr to Sep)</t>
  </si>
  <si>
    <t>Applicable Govt Hospitals,Educational institutes</t>
  </si>
  <si>
    <t>Hospitals/Educational institutes not covered under HT2©(i)</t>
  </si>
  <si>
    <t xml:space="preserve">Specific consumption FY-18 is </t>
  </si>
  <si>
    <t>For half year</t>
  </si>
  <si>
    <t>BESCOM’s Actual Power purchase details from April 18 to Sept 18 and Projections from Oct 18 to Mar 19</t>
  </si>
  <si>
    <t>Approved</t>
  </si>
  <si>
    <t>Actuals (April 2018 to Sept 2018)</t>
  </si>
  <si>
    <t>Projections (Oct 2018 to Mar 2019)</t>
  </si>
  <si>
    <t>Total (April 18 to Mar 19</t>
  </si>
  <si>
    <t>NAME OF THE GENERATING STATION</t>
  </si>
  <si>
    <t>% SHARE OF ENERGY ALLOWED</t>
  </si>
  <si>
    <t>ENERGY ALLOWED (MU)</t>
  </si>
  <si>
    <t>CAPACITY CHARGE S(RS Cr)</t>
  </si>
  <si>
    <r>
      <rPr>
        <b/>
        <sz val="10"/>
        <rFont val="Times New Roman"/>
        <family val="1"/>
      </rPr>
      <t>ENERGY CHARGES PER UNIT RATE
(Rs/Kwh))</t>
    </r>
  </si>
  <si>
    <r>
      <rPr>
        <b/>
        <sz val="10"/>
        <rFont val="Times New Roman"/>
        <family val="1"/>
      </rPr>
      <t>ENERGY CHARGES
(Rs Cr)</t>
    </r>
  </si>
  <si>
    <r>
      <rPr>
        <b/>
        <sz val="10"/>
        <rFont val="Times New Roman"/>
        <family val="1"/>
      </rPr>
      <t>TOTAL COST (Rs
Cr)</t>
    </r>
  </si>
  <si>
    <r>
      <rPr>
        <b/>
        <sz val="10"/>
        <rFont val="Times New Roman"/>
        <family val="1"/>
      </rPr>
      <t>PER UNIT RATE(
Rs/K wh)</t>
    </r>
  </si>
  <si>
    <t>ENERGY Purchased (MU)</t>
  </si>
  <si>
    <t>ENERGY Purchase(MU)</t>
  </si>
  <si>
    <t>CAPACITYCHARGES (Cr)</t>
  </si>
  <si>
    <t>ENERGY CHARGES
(Rs Cr)</t>
  </si>
  <si>
    <t>TOTAL COST       (Rs
Cr)</t>
  </si>
  <si>
    <t>COST PER UNIT             (
Rs/K wh)</t>
  </si>
  <si>
    <t>KPCL THERMAL STATIONS</t>
  </si>
  <si>
    <t>RAICHUR THERMAL POWER STATION_RTPS 1-7 (7x210)</t>
  </si>
  <si>
    <t>RAICHUR THERMAL POWER STATION_RTPS 8 (1x250)</t>
  </si>
  <si>
    <t>BELLARY THERMAL POWER STATIONS_BTPS-1 (1x500)</t>
  </si>
  <si>
    <t>BELLARY THERMAL POWER STATIONS_BTPS-2 (1x500)</t>
  </si>
  <si>
    <t>BELLARY THERMAL POWER STATIONS_BTPS-3 (1x700)</t>
  </si>
  <si>
    <t>YTPS Unit- 1</t>
  </si>
  <si>
    <t>TOTAL KPCL THERMAL</t>
  </si>
  <si>
    <t>CGS SOURCES</t>
  </si>
  <si>
    <t>N.T.P.C-RSTP-I&amp;II (3X200MW+3X500MW)</t>
  </si>
  <si>
    <t>N.T.P.C-RSTP-III (1X500MW)</t>
  </si>
  <si>
    <t>NTPC-Talcher (4X500MW)</t>
  </si>
  <si>
    <t>Simhadri Unit -1  &amp;2 (2X500MW)</t>
  </si>
  <si>
    <t>NTPC Tamilnadu Energy Company Ltd (NTECL)_Vallur TPS Stage I &amp;2 &amp;3 (3X500MW)</t>
  </si>
  <si>
    <r>
      <rPr>
        <sz val="12"/>
        <rFont val="Times New Roman"/>
        <family val="1"/>
      </rPr>
      <t>Neyveli Lignite Corporation_NLC TPS-II
STAGE I (3X210MW)</t>
    </r>
  </si>
  <si>
    <t>Neyveli Lignite Corporation_NLC TPS-II STAGE 2 (4X210MW)</t>
  </si>
  <si>
    <r>
      <rPr>
        <sz val="12"/>
        <rFont val="Times New Roman"/>
        <family val="1"/>
      </rPr>
      <t>Neyveli Lignite Corporation_NLC TPS I
EXP (2X210MW)</t>
    </r>
  </si>
  <si>
    <t>Neyveli Lignite Corporation_NLC TPS2 EXP  (2X250MW)</t>
  </si>
  <si>
    <r>
      <rPr>
        <sz val="12"/>
        <rFont val="Times New Roman"/>
        <family val="1"/>
      </rPr>
      <t>NLC TAMINADU POWER LIMITED (NTPL)
(TUTICORIN) (2X500MW)</t>
    </r>
  </si>
  <si>
    <t>MAPS (2X220MW)</t>
  </si>
  <si>
    <t>Kaiga Unit 1&amp;2 (2X220MW) &amp; 3 &amp; 4</t>
  </si>
  <si>
    <t>Kaiga  Unit 3 &amp;4 (2X200MW)</t>
  </si>
  <si>
    <t>NPCIL-KudanKulam Atomic Power Generating Station
(KKNPP U1 (1X1000MW) &amp; Unit 2</t>
  </si>
  <si>
    <r>
      <rPr>
        <sz val="12"/>
        <rFont val="Times New Roman"/>
        <family val="1"/>
      </rPr>
      <t>NPCIL-KudanKulam Atomic Power Generating Station
(KKNPP) U2(1X1000MW)</t>
    </r>
  </si>
  <si>
    <t>DVC-Unit-1 &amp;2 Meja TPS (2x500MW) &amp; Koderma</t>
  </si>
  <si>
    <t>DVC-Unit-7 &amp; 8- KODERMA TPS (2x500MW)</t>
  </si>
  <si>
    <t>UI Energy</t>
  </si>
  <si>
    <t>TOTAL CGS Energy @ KPTCl periphery</t>
  </si>
  <si>
    <t>TOTAL MAJOR IPPS</t>
  </si>
  <si>
    <t>UDUPI POWER CORPORATION LIMITED_UPCL (2x600)</t>
  </si>
  <si>
    <t>KPCL HYDEL STATIONS</t>
  </si>
  <si>
    <r>
      <rPr>
        <sz val="12"/>
        <rFont val="Times New Roman"/>
        <family val="1"/>
      </rPr>
      <t>SHARAVATHI VALLEY
PROJECT_SVP (10x103.5+2x27.5)</t>
    </r>
  </si>
  <si>
    <r>
      <rPr>
        <sz val="12"/>
        <rFont val="Times New Roman"/>
        <family val="1"/>
      </rPr>
      <t>MAHATMA GANDHI HYDRO ELECTRIC POWER HOUSE_MGHE
(4x21.6+4x13.2)</t>
    </r>
  </si>
  <si>
    <t>GERUSOPPA_GPH (SHARAVATHI TAIL RACE_STR) (4x60)</t>
  </si>
  <si>
    <t>KALI VALLEY PROJECT_KVP (2x50+6x150)</t>
  </si>
  <si>
    <t>VARAHI VALLEY PROJECT_VVP (4x115+2x4.5)</t>
  </si>
  <si>
    <t>ALMATTI DAM POWER HOUSE_ADPH (1x15+5x55)</t>
  </si>
  <si>
    <r>
      <rPr>
        <sz val="12"/>
        <rFont val="Times New Roman"/>
        <family val="1"/>
      </rPr>
      <t>BHADRA HYDRO ELECTRIC POWER HOUSE_BHEP
((1x2+2x12)+(1x7.2+1x6))</t>
    </r>
  </si>
  <si>
    <t>KADRA POWER HOUSE_KPH (3x50)</t>
  </si>
  <si>
    <t>KODASALLI DAM POWER HOUSE_KDPH (3x40)</t>
  </si>
  <si>
    <r>
      <rPr>
        <sz val="12"/>
        <rFont val="Times New Roman"/>
        <family val="1"/>
      </rPr>
      <t>GHATAPRABHA DAM POWER HOUSE_GDPH
(2x16)</t>
    </r>
  </si>
  <si>
    <t>SHIVASAMUDRAM (4x4+6x3) &amp; SHIMSHAPURA (2x8.6) HYDRO STATIONS.</t>
  </si>
  <si>
    <t>MUNIRABAD POWER HOUSE (2x9+1x10)</t>
  </si>
  <si>
    <t>TOTAL KPCL HYDRO</t>
  </si>
  <si>
    <t>OTHER HYDRO</t>
  </si>
  <si>
    <t>PRIYADARSHINI JURALA HYDRO ESLECTRIC STATION (6x39)</t>
  </si>
  <si>
    <t>TUNGABHADRA DAM POWER HOUSE_TBPH (4x9+4x9)</t>
  </si>
  <si>
    <t>TOTAL OTHER HYDRO</t>
  </si>
  <si>
    <t>RENEWABLE SOURCES OF ENERGY SOURCES</t>
  </si>
  <si>
    <t>WIND-IPPS</t>
  </si>
  <si>
    <t>KPCL-WIND (9x0.225+10x0.230)</t>
  </si>
  <si>
    <t>MINI HYDEL-IPPS</t>
  </si>
  <si>
    <t>CO-GEN</t>
  </si>
  <si>
    <t>CAPPTIVE</t>
  </si>
  <si>
    <t>BIOMASS</t>
  </si>
  <si>
    <t>SOLAR</t>
  </si>
  <si>
    <t>Solar-New Park- Pavagada</t>
  </si>
  <si>
    <t>SOLAR-KPCL (YELESANDRA,ITNAL,YAPA LDINNI,SHIMSHA) (3x1+3x1+1x3x1x5)</t>
  </si>
  <si>
    <t>TOTAL NCE</t>
  </si>
  <si>
    <t>Solar Park at Pavagada- Bundled with Thermal power of  NTPC</t>
  </si>
  <si>
    <t>Power purchse from Co- gen - Medium Term</t>
  </si>
  <si>
    <t>Short term power purchase  May 2018</t>
  </si>
  <si>
    <t>TRANSMISSION CHARGES</t>
  </si>
  <si>
    <t>PGCIL CHARGES</t>
  </si>
  <si>
    <t>KPTCL CHARGES</t>
  </si>
  <si>
    <t>SLDC</t>
  </si>
  <si>
    <t>POSOCO CHARGES &amp; PCKL Rev</t>
  </si>
  <si>
    <t>Energy Balancing</t>
  </si>
  <si>
    <t>TOTAL INCLUDING TRANSMISSION &amp; LDC CHARGES</t>
  </si>
  <si>
    <t>BESCOM’s  Projections for FY 20</t>
  </si>
  <si>
    <t>PROJECTIONS</t>
  </si>
  <si>
    <t>Yelahanka</t>
  </si>
  <si>
    <t xml:space="preserve">DVC-Unit-1 &amp;2 Meja TPS (2x500MW) </t>
  </si>
  <si>
    <t>DVC-Unit-1 &amp;2 koderma</t>
  </si>
  <si>
    <t>NTPC Bundled power coal  (NVVN</t>
  </si>
  <si>
    <t>NTPC Bundled power coal  (NSM</t>
  </si>
  <si>
    <t>Co gen (Medium term)</t>
  </si>
  <si>
    <t>Mega Solar scheme</t>
  </si>
  <si>
    <t>Land owned farmer scheme</t>
  </si>
  <si>
    <t>Taluks wise</t>
  </si>
  <si>
    <t>Solar-New Park- Pavagada VGF scheme</t>
  </si>
  <si>
    <t>bundled power (NVVN)</t>
  </si>
  <si>
    <t>bundled power (NSM)</t>
  </si>
  <si>
    <t>SOLAR-KPCL (YELESANDRA,)</t>
  </si>
  <si>
    <t>new NCE Project</t>
  </si>
  <si>
    <t xml:space="preserve">Solar Park at Pavagada- </t>
  </si>
  <si>
    <t>cc</t>
  </si>
  <si>
    <t>Toatal cost</t>
  </si>
  <si>
    <t>BESCOM’s  Projections for FY 21</t>
  </si>
  <si>
    <t>ENERGY Projected (MU)</t>
  </si>
  <si>
    <t>Assumptions:</t>
  </si>
  <si>
    <t>1.  KPCL Thermal  Stations</t>
  </si>
  <si>
    <t>The fixed cost is considered as billed by BESCOM for Fy 19 (Actuals). The actual variable cost of FY 19 with escalation of 3% is considered.</t>
  </si>
  <si>
    <t>2. Central Generating Stations:</t>
  </si>
  <si>
    <t>The fixed cost per unit as per REA for FY 19 with 2% escalation is considered. The variable cost comparing actuals of FY 18 and FY 19 (upto Sept 2018) with escalation of 3% is considered.</t>
  </si>
  <si>
    <t>3. UPCL</t>
  </si>
  <si>
    <t>The fixed  cost is cosidered as  per actuals for FY 18 and variable cost comparing actuals of FY 18 and FY 19 (upto Sept 2018) with escalation of 3% is considered.</t>
  </si>
  <si>
    <t>4. KPCL Hydel Stations:</t>
  </si>
  <si>
    <t>The Energy charges is considered comparing the  Actuals of FY 18 and FY FY 19 (upto Sept 2018)</t>
  </si>
  <si>
    <t>5. The Hydel stations of Jurala Project and TB Dam are considered as per actuals of FY 18</t>
  </si>
  <si>
    <t>6. Renewable Projects:</t>
  </si>
  <si>
    <t>The energy and cost of Renewable projects are considered  comparing the actuals of FY 18 and FY 19 (upto Sept 2018) as per PPAs executed with the Generators by BESCOM.</t>
  </si>
  <si>
    <t xml:space="preserve">7. Transmission Charges </t>
  </si>
  <si>
    <t>a. KPTCL Transmission charges is considered  with 15% escalation over the actuals of FY 19.</t>
  </si>
  <si>
    <t>b. PGCIL Transmission charges is considered  with 10% increase over the actuals of FY 19</t>
  </si>
  <si>
    <t>8. Other Charges</t>
  </si>
  <si>
    <t xml:space="preserve"> The SLDC charges, POSOCO charges and PCKL Revenue expenditure is considered as per actuals of FY 19</t>
  </si>
  <si>
    <t>9 Energy is considered as per availability from  the capacities agreed in PPAs duly considering merit order whereever applicable.</t>
  </si>
  <si>
    <t>*</t>
  </si>
  <si>
    <t xml:space="preserve">Kaiga Unit 1to 4 (4X220MW) </t>
  </si>
  <si>
    <t>Non solar Total</t>
  </si>
  <si>
    <t>Solar Park at Pavagada-  (New)</t>
  </si>
  <si>
    <t>The fixed cost is considered as billed by BESCOM for Fy 20. The  variable cost of FY 20 with escalation of 3% is considered.</t>
  </si>
  <si>
    <t>The fixed cost per unit  FY 20 with 2% escalation is considered. The variable cost of FY 20 with escalation of 3%  is considered.</t>
  </si>
  <si>
    <t>The fixed  cost of FY 20 with 5.5% escalation  is cosidered   and variable cost of FY 20  with escalation of 3% is considered.</t>
  </si>
  <si>
    <t>The Energy charges is considered as in  FY 20</t>
  </si>
  <si>
    <t>a. KPTCL Transmission charges is considered  with 15% escalation over the actuals of FY 21.</t>
  </si>
  <si>
    <t>b. PGCIL Transmission charges is considered  with 10% increase over the actuals of FY 21</t>
  </si>
  <si>
    <t>BESCOM’s  Projections for FY 22</t>
  </si>
  <si>
    <t>The fixed cost is considered as billed by BESCOM for Fy 21. The  variable cost of FY 21 with escalation of 3% is considered.</t>
  </si>
  <si>
    <t>The fixed cost per unit  FY 21 with 2% escalation is considered. The variable cost of FY 21 with escalation of 3%  is considered.</t>
  </si>
  <si>
    <t>The fixed  cost of FY 21 with 5.5% escalation  is cosidered   and variable cost of FY 21  with escalation of 3% is considered.</t>
  </si>
  <si>
    <t>The Energy charges is considered with 1% escaltion of FY 20</t>
  </si>
  <si>
    <t>a. KPTCL Transmission charges is considered  with 15% escalation over the actuals of FY 20.</t>
  </si>
  <si>
    <t>b. PGCIL Transmission charges is considered  with 10% increase over the actuals of FY 20</t>
  </si>
  <si>
    <t>B. ADD: Debits to Revenue Account not requiring Cash Outflow:</t>
  </si>
  <si>
    <t>C.LESS: Credits to Revenue Account not invloving Cash Receipts:</t>
  </si>
  <si>
    <t>A. Increase/(Decrease) in Current Assets:</t>
  </si>
  <si>
    <t>B. Increase/(Decrease) in Current Liabilities:</t>
  </si>
  <si>
    <t>A. Fresh Borrowings:</t>
  </si>
  <si>
    <t>B. Repayments:</t>
  </si>
  <si>
    <t>REC UNIP</t>
  </si>
  <si>
    <t>REC DDUGJY</t>
  </si>
  <si>
    <t>REC IPDS</t>
  </si>
  <si>
    <t>MODEL SUBDIVISION-CANARA</t>
  </si>
  <si>
    <t>Expenses towards CSR- (Corporate Social Responsibilities)</t>
  </si>
  <si>
    <t>Statutory auditor's remuneration+tax audit fees</t>
  </si>
  <si>
    <t>CSS in Crs</t>
  </si>
  <si>
    <t>RoE @15.5%</t>
  </si>
  <si>
    <t>Interest subsidy received under National Electricity Fund Scheme</t>
  </si>
  <si>
    <t>Loan from commercial bank- SBI(HVDS)</t>
  </si>
  <si>
    <t>Term of Loan</t>
  </si>
  <si>
    <t>Rate of Interest</t>
  </si>
  <si>
    <t>13 years</t>
  </si>
  <si>
    <t>20 years</t>
  </si>
  <si>
    <t>17 years</t>
  </si>
  <si>
    <t>Purpose of Loan</t>
  </si>
  <si>
    <t>DTC metering</t>
  </si>
  <si>
    <t>NJY phase-2</t>
  </si>
  <si>
    <t>APDRP counter part funding</t>
  </si>
  <si>
    <t>RAPDRP (PartB)</t>
  </si>
  <si>
    <t>RAPDRP (PartB) (counter funding)</t>
  </si>
  <si>
    <t>General Capex</t>
  </si>
  <si>
    <t>Static meters</t>
  </si>
  <si>
    <t>RGGVY-12th Plan</t>
  </si>
  <si>
    <t>NJY phase-3</t>
  </si>
  <si>
    <t>HVDS-Phase2</t>
  </si>
  <si>
    <t>Loan from GoK-JICA(AG query)</t>
  </si>
  <si>
    <t>DDUGJY</t>
  </si>
  <si>
    <t>IPDS</t>
  </si>
  <si>
    <t>APDRP</t>
  </si>
  <si>
    <t>RGGY</t>
  </si>
  <si>
    <t>15 years</t>
  </si>
  <si>
    <t>13/10 years</t>
  </si>
  <si>
    <t>CAPEX</t>
  </si>
  <si>
    <t>10 years</t>
  </si>
  <si>
    <t>UG cable</t>
  </si>
  <si>
    <t>diff</t>
  </si>
  <si>
    <t>ret</t>
  </si>
  <si>
    <t>intan</t>
  </si>
  <si>
    <t>HT Grand Total</t>
  </si>
  <si>
    <t>Bhagya Jyoti/ Kutira Jyoti &gt;40 units</t>
  </si>
  <si>
    <t>Bhagya Jyoti/ Kutira Jyoti &lt;40 units</t>
  </si>
  <si>
    <t>FY-20Apr to Sep)</t>
  </si>
  <si>
    <t>b) LESS:ahCUMULATED DEPRECIATION+Aan</t>
  </si>
  <si>
    <t>A. CURRENT ASSETS, LOANS &amp; anVANCES</t>
  </si>
  <si>
    <t>d) LOANS &amp; anVANCES</t>
  </si>
  <si>
    <t>Loss (MU)(inclusive of transmission loss)</t>
  </si>
  <si>
    <t>% share of energy allowed</t>
  </si>
  <si>
    <t>Energy Allowed (MU)</t>
  </si>
  <si>
    <t>Capacity charges (Rs crore)</t>
  </si>
  <si>
    <t>variable charges</t>
  </si>
  <si>
    <t>Total cost</t>
  </si>
  <si>
    <t>amt in crs</t>
  </si>
  <si>
    <t>Amount in Crs</t>
  </si>
  <si>
    <t>Avg cost/unit Rs</t>
  </si>
  <si>
    <t>Energy in mu</t>
  </si>
  <si>
    <t>VARAHI VALLEY PROJECT_VVP 3&amp;4)</t>
  </si>
  <si>
    <t>Solar-New Park- Pavagada VGF scheme seci</t>
  </si>
  <si>
    <t xml:space="preserve">Solar-New Park- Pavagada </t>
  </si>
  <si>
    <t>NTPC bundled power coal old (nvvn)</t>
  </si>
  <si>
    <t>NTPC bundled power coal new (pavgada)</t>
  </si>
  <si>
    <t xml:space="preserve">UI </t>
  </si>
  <si>
    <t>Energy balancing</t>
  </si>
  <si>
    <t>IEX sale</t>
  </si>
  <si>
    <t>Approved power purchase for FY 20</t>
  </si>
  <si>
    <t>Actual power purchase Fy 20</t>
  </si>
  <si>
    <t>Diff</t>
  </si>
  <si>
    <t>NNTPS</t>
  </si>
  <si>
    <t>Solar roof top</t>
  </si>
  <si>
    <t>banked solar+non solar</t>
  </si>
  <si>
    <t>APPC/PTC (sale of power) OA charges</t>
  </si>
  <si>
    <t>POSOCO CHARGES &amp; PCKL Rev &amp; legal exp</t>
  </si>
  <si>
    <t>Interescom</t>
  </si>
  <si>
    <t>Prior period exp</t>
  </si>
  <si>
    <t>Prior period income</t>
  </si>
  <si>
    <t>FY22</t>
  </si>
  <si>
    <t>Other Misc Receipts from trading/Loses gains relating to Fixed Assets</t>
  </si>
  <si>
    <t>Total loan at the end of the year</t>
  </si>
  <si>
    <t>Loan from Commercial Bank-Bank of Baroda</t>
  </si>
  <si>
    <t>Vijaya Bank/Bank of Baroda</t>
  </si>
  <si>
    <t>new proposed-(kuidfc)-UG cable</t>
  </si>
  <si>
    <t>new proposed-MSD+E&amp;S</t>
  </si>
  <si>
    <t>ADB loan (Non Soverign) -UG cable (90 MUSD)</t>
  </si>
  <si>
    <t>ADB Loan Sovereign - UG cable (100 MUSD)</t>
  </si>
  <si>
    <t>SBI UG cable  (sanctioned 1576)</t>
  </si>
  <si>
    <t>Pending UG cable loan tie up/enquiries floated to Banks</t>
  </si>
  <si>
    <t>GoK interest free loan towards KPC dues</t>
  </si>
  <si>
    <t>Special Long term transition loan for payment of power purchase dues:</t>
  </si>
  <si>
    <t>SBI COVID/G.O</t>
  </si>
  <si>
    <t>Canara COVID/GO</t>
  </si>
  <si>
    <t>DAS</t>
  </si>
  <si>
    <t>11/8.5 years</t>
  </si>
  <si>
    <t>11 years</t>
  </si>
  <si>
    <t>MSD</t>
  </si>
  <si>
    <t>27 years</t>
  </si>
  <si>
    <t>7 years</t>
  </si>
  <si>
    <t>KPC dues</t>
  </si>
  <si>
    <t>PP dues</t>
  </si>
  <si>
    <t>SBI COVID</t>
  </si>
  <si>
    <t>BOB COVID</t>
  </si>
  <si>
    <t>SBI New</t>
  </si>
  <si>
    <t>New</t>
  </si>
  <si>
    <t xml:space="preserve">3 months </t>
  </si>
  <si>
    <t>7.35% &amp; 7.45%</t>
  </si>
  <si>
    <t>Working capital (WC)</t>
  </si>
  <si>
    <t>one year</t>
  </si>
  <si>
    <t>WC</t>
  </si>
  <si>
    <t>3 months / 24 months</t>
  </si>
  <si>
    <t>8.60% &amp; 8.35% &amp; 6.95%</t>
  </si>
  <si>
    <t>6 months</t>
  </si>
  <si>
    <t>13 months</t>
  </si>
  <si>
    <t>2 years one month</t>
  </si>
  <si>
    <t>24 months</t>
  </si>
  <si>
    <t>12 months</t>
  </si>
  <si>
    <t>two years</t>
  </si>
  <si>
    <t>MCLR 8%</t>
  </si>
  <si>
    <t>Profit and loss account</t>
  </si>
  <si>
    <t>d2</t>
  </si>
  <si>
    <t>to subtract</t>
  </si>
  <si>
    <t>LT 6©</t>
  </si>
  <si>
    <t>Electric Vehicle</t>
  </si>
  <si>
    <t>FY-21(Apr to Sep)</t>
  </si>
  <si>
    <t>Gap of  - FY-20</t>
  </si>
  <si>
    <t>Regulatory Asset &amp; Carrying cost</t>
  </si>
  <si>
    <t>REGULATORY ASSET &amp; carrying cost</t>
  </si>
  <si>
    <t>FY20 gap carried forward/ Incentive for decreasing distribution loss</t>
  </si>
  <si>
    <t>Statement showing the Actual energy purchased, cost paid  for FY 21 (April 20 to Sept  20)  and Projections for Oct 20 to Mar 21</t>
  </si>
  <si>
    <t>Approved power purchase for FY 21</t>
  </si>
  <si>
    <t>Actual power purchase  (April 20 to Sept 20)</t>
  </si>
  <si>
    <t>Oct 20 to Mar 21 (Projections)</t>
  </si>
  <si>
    <t xml:space="preserve">Total cost </t>
  </si>
  <si>
    <t>Energy in Mu</t>
  </si>
  <si>
    <t>Amount in cr</t>
  </si>
  <si>
    <t>FORM T1/D1</t>
  </si>
  <si>
    <t xml:space="preserve">  Energy Projection  &amp; Power Purchase Cost of BESCOM -FY2021-22</t>
  </si>
  <si>
    <t>Scheduled energy/design energy in Mus</t>
  </si>
  <si>
    <t>Energy in Mus</t>
  </si>
  <si>
    <t>Fixed Charges/annum (Rs in Crs)</t>
  </si>
  <si>
    <t>Variable Charge ( Ps / Kwh )</t>
  </si>
  <si>
    <t>Other Charges Rs in Crores</t>
  </si>
  <si>
    <t xml:space="preserve">Total Cost of power at  Generation point(Rs in Crs)
</t>
  </si>
  <si>
    <t>Average rate (Ps/kwh)</t>
  </si>
  <si>
    <t xml:space="preserve">Variable Charge
</t>
  </si>
  <si>
    <t>Fuel Escln Charges/Royalty</t>
  </si>
  <si>
    <t>Total variable Charges</t>
  </si>
  <si>
    <t>Incentive</t>
  </si>
  <si>
    <t>Wheeling Charges</t>
  </si>
  <si>
    <t>Income Tax</t>
  </si>
  <si>
    <t>Variable charges Rs in Cr</t>
  </si>
  <si>
    <t>Fixed charges</t>
  </si>
  <si>
    <t xml:space="preserve"> Total Variable charges</t>
  </si>
  <si>
    <t xml:space="preserve"> CGS </t>
  </si>
  <si>
    <t>KPCL  Hydro</t>
  </si>
  <si>
    <t>KPCL RTPS</t>
  </si>
  <si>
    <t>HYDEL</t>
  </si>
  <si>
    <t>Sharavathy valley projects</t>
  </si>
  <si>
    <t>Sharavathi</t>
  </si>
  <si>
    <t>Linganamakki</t>
  </si>
  <si>
    <t>Chakra</t>
  </si>
  <si>
    <t>Kali Valley projects</t>
  </si>
  <si>
    <t>Supa</t>
  </si>
  <si>
    <t>Varahi Valley projects</t>
  </si>
  <si>
    <t>Varahi 1 &amp;2</t>
  </si>
  <si>
    <t>Mani Dam</t>
  </si>
  <si>
    <t>Varahi 3 &amp;4</t>
  </si>
  <si>
    <t>Bhadra &amp; Bhadra Right Bank</t>
  </si>
  <si>
    <t>Shiva &amp; Shimsa</t>
  </si>
  <si>
    <t>Total KPCL Hydel</t>
  </si>
  <si>
    <t>RTPS -1 &amp; 7</t>
  </si>
  <si>
    <t>RTPS 8</t>
  </si>
  <si>
    <t>BTPS</t>
  </si>
  <si>
    <t>Unit I</t>
  </si>
  <si>
    <t>Unit II</t>
  </si>
  <si>
    <t>Unit III</t>
  </si>
  <si>
    <t>Yelahanka Combined Cycle gas  Power projects</t>
  </si>
  <si>
    <t>Raichur Power Corporation ltd</t>
  </si>
  <si>
    <t>Yermarus TPS - 1 &amp; 2</t>
  </si>
  <si>
    <t>N.T.P.C-RSTP-I&amp;II</t>
  </si>
  <si>
    <t>NLC TPS1-Expn</t>
  </si>
  <si>
    <t>NLC II expansion I</t>
  </si>
  <si>
    <t>New NLC Thermal Power project</t>
  </si>
  <si>
    <t>Kaiga Unit 1&amp;2</t>
  </si>
  <si>
    <t>Kaiga  Unit 3  &amp;4</t>
  </si>
  <si>
    <t>Simhadri Unit -1  &amp;2</t>
  </si>
  <si>
    <t>Vallur TPS Stage I &amp;2 &amp;3</t>
  </si>
  <si>
    <t>NLC II expansion -2</t>
  </si>
  <si>
    <t>KudamKulam Unit 1</t>
  </si>
  <si>
    <t>KudamKulam Unit 2</t>
  </si>
  <si>
    <t>Kudgi Units 1,2 &amp;3</t>
  </si>
  <si>
    <t xml:space="preserve"> Damodhar valley Corporation- Meja thermal Power Station</t>
  </si>
  <si>
    <t xml:space="preserve"> Damodhar valley Corporation-  Kodemma thermal Power Station</t>
  </si>
  <si>
    <t>POSOCO charges</t>
  </si>
  <si>
    <t xml:space="preserve"> PGCIL Transmission Charges</t>
  </si>
  <si>
    <t>M/s UPCL</t>
  </si>
  <si>
    <t>Minor IPPS</t>
  </si>
  <si>
    <t>Existing NCE projects</t>
  </si>
  <si>
    <t>Co-generation</t>
  </si>
  <si>
    <t xml:space="preserve"> Biomass</t>
  </si>
  <si>
    <t xml:space="preserve"> Mini Hydel</t>
  </si>
  <si>
    <t xml:space="preserve"> Wind mill</t>
  </si>
  <si>
    <t>KPCL wind mill</t>
  </si>
  <si>
    <t xml:space="preserve"> Solar</t>
  </si>
  <si>
    <t>Solar rooftop</t>
  </si>
  <si>
    <t xml:space="preserve"> NTPC Bundled power  Coal</t>
  </si>
  <si>
    <t xml:space="preserve"> NTPC Bundled Power Solar</t>
  </si>
  <si>
    <t>Captive/Banking energy</t>
  </si>
  <si>
    <t xml:space="preserve"> NTPC Bundled power  Coal,WR region ,Pavagada</t>
  </si>
  <si>
    <t xml:space="preserve"> NTPC Bundled Power Solar, Pavagada</t>
  </si>
  <si>
    <t>Total D1</t>
  </si>
  <si>
    <t>New NCE projects</t>
  </si>
  <si>
    <t>Solar  Power @ Pavagada</t>
  </si>
  <si>
    <t xml:space="preserve">Farmer 1 to 3 </t>
  </si>
  <si>
    <t>Solar Power Under VGF Scheme</t>
  </si>
  <si>
    <t>Solar Power Under Talukwise scheme</t>
  </si>
  <si>
    <t>Total D2</t>
  </si>
  <si>
    <t>Total of D1&amp;D2</t>
  </si>
  <si>
    <t>TB Dam</t>
  </si>
  <si>
    <t>Total E</t>
  </si>
  <si>
    <t>Medium Term  Procurement</t>
  </si>
  <si>
    <t xml:space="preserve"> Medium term procurement of Cogeneration Plants</t>
  </si>
  <si>
    <t xml:space="preserve"> Total Medium Term  procurement</t>
  </si>
  <si>
    <t>Total availability</t>
  </si>
  <si>
    <t>Energy requirement</t>
  </si>
  <si>
    <t>Allocation to Other ESCOMs</t>
  </si>
  <si>
    <t>Deficit/surplus</t>
  </si>
  <si>
    <t>Medium/short</t>
  </si>
  <si>
    <t>Transmission &amp; SLDC charges</t>
  </si>
  <si>
    <t>Commercial Losses identified and assessed for the period from April-19 to Mar-20 (FY-20) in respect of cognizable and non-cognizable cases booked by Vigilance wing, BESCOM</t>
  </si>
  <si>
    <t>No. of installations inspected during the period from 01.04.2019 to 31.03.2020</t>
  </si>
  <si>
    <t>No. of units units quantified for assessing back billing charges (in kWhs)(in Lakhs)</t>
  </si>
  <si>
    <t>Amount assessed in respect of 4 above (in lakhs)(BBC)</t>
  </si>
  <si>
    <t>Assessment of amount [without energy] in lakhs(CC)</t>
  </si>
  <si>
    <t>Total back billing short billing charges due(BBC+CC)</t>
  </si>
  <si>
    <t>Opening Balance of Back billing charges due(in Lakhs)</t>
  </si>
  <si>
    <t xml:space="preserve">Amount collected during the year </t>
  </si>
  <si>
    <t>Commercial Losses identified and assessed for the period from April-20 to Sept-20 (FY-21) in respect of cognizable and non-cognizable cases booked by Vigilance wing, BESCOM</t>
  </si>
  <si>
    <t>No. of installations inspected during the period from 01.04.2020 to 30.09.2020</t>
  </si>
  <si>
    <t xml:space="preserve"> ( DEMAND, COLLECTION AND BALANCE OF REVENUE FOR THE  YEAR 2019-20)</t>
  </si>
  <si>
    <t xml:space="preserve"> STATEMENT SHOWING DIVISIONWISE, TARIFFWISE  DEMAND, COLLECTION AND BALANCE OF REVENUE FOR THE YEAR 2019-20</t>
  </si>
  <si>
    <t>D-1</t>
  </si>
  <si>
    <t>D-2</t>
  </si>
  <si>
    <t>D-6A</t>
  </si>
  <si>
    <t>D8</t>
  </si>
  <si>
    <t>D-12</t>
  </si>
  <si>
    <t>D-15</t>
  </si>
  <si>
    <t>D-16</t>
  </si>
  <si>
    <t>D-23</t>
  </si>
  <si>
    <t>D1-FY-21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</si>
</sst>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 * #,##0.00_ ;_ * \-#,##0.00_ ;_ * &quot;-&quot;??_ ;_ @_ "/>
    <numFmt numFmtId="164" formatCode="&quot;$&quot;#,##0.00_);[Red]\(&quot;$&quot;#,##0.00\)"/>
    <numFmt numFmtId="165" formatCode="_(* #,##0.00_);_(* \(#,##0.00\);_(* &quot;-&quot;??_);_(@_)"/>
    <numFmt numFmtId="166" formatCode="&quot;Rs.&quot;\ #,##0;&quot;Rs.&quot;\ \-#,##0"/>
    <numFmt numFmtId="167" formatCode="_-* #,##0.00_-;\-* #,##0.00_-;_-* &quot;-&quot;??_-;_-@_-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  <numFmt numFmtId="172" formatCode="[Black]_(* #,##0.00_);[Red]_(* #,##0.00_)"/>
    <numFmt numFmtId="173" formatCode="_(* #,##0.00000_);_(* \(#,##0.00000\);_(* &quot;-&quot;??_);_(@_)"/>
    <numFmt numFmtId="174" formatCode="0.00000"/>
    <numFmt numFmtId="183" formatCode="0.000000000000"/>
    <numFmt numFmtId="184" formatCode="0.0000"/>
    <numFmt numFmtId="185" formatCode="_(* #,##0.0000000_);_(* \(#,##0.0000000\);_(* &quot;-&quot;??_);_(@_)"/>
    <numFmt numFmtId="186" formatCode="_ * #,##0.0_ ;_ * \-#,##0.0_ ;_ * &quot;-&quot;??_ ;_ @_ "/>
    <numFmt numFmtId="187" formatCode="0.000000"/>
    <numFmt numFmtId="196" formatCode="_ * #,##0_ ;_ * \-#,##0_ ;_ * &quot;-&quot;??_ ;_ @_ "/>
    <numFmt numFmtId="202" formatCode="0.00_);\(0.00\)"/>
  </numFmts>
  <fonts count="10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sz val="16"/>
      <name val="Bookman Old Style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8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1"/>
      <name val="Bookman Old Style"/>
      <family val="1"/>
    </font>
    <font>
      <b/>
      <sz val="10.5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.9499999999999993"/>
      <color indexed="8"/>
      <name val="Verdana"/>
      <family val="2"/>
    </font>
    <font>
      <sz val="10"/>
      <name val="Verdana"/>
      <family val="2"/>
    </font>
    <font>
      <i/>
      <sz val="11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Bookman Old Style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Narrow"/>
      <family val="2"/>
    </font>
    <font>
      <sz val="10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1"/>
      <name val="Tahoma"/>
      <family val="2"/>
    </font>
    <font>
      <b/>
      <sz val="9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Bookman Old Style"/>
      <family val="1"/>
    </font>
    <font>
      <sz val="12"/>
      <color rgb="FF000000"/>
      <name val="Calibri"/>
      <family val="2"/>
    </font>
    <font>
      <sz val="12"/>
      <color rgb="FF000000"/>
      <name val="Century Gothic"/>
      <family val="2"/>
    </font>
    <font>
      <b/>
      <sz val="12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rgb="FFFF0000"/>
      <name val="Arial Narrow"/>
      <family val="2"/>
    </font>
    <font>
      <sz val="12"/>
      <color rgb="FFFF0000"/>
      <name val="Times New Roman"/>
      <family val="1"/>
    </font>
    <font>
      <sz val="11"/>
      <color theme="1"/>
      <name val="Bookman Old Style"/>
      <family val="1"/>
    </font>
    <font>
      <b/>
      <sz val="12"/>
      <color rgb="FFFFFFFF"/>
      <name val="Century Gothic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3EFCD"/>
        <bgColor indexed="64"/>
      </patternFill>
    </fill>
    <fill>
      <patternFill patternType="solid">
        <fgColor rgb="FFF1F7E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F1F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CD433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top"/>
    </xf>
    <xf numFmtId="0" fontId="69" fillId="9" borderId="78" applyNumberFormat="0" applyAlignment="0" applyProtection="0"/>
    <xf numFmtId="165" fontId="1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8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28" fillId="0" borderId="0"/>
    <xf numFmtId="0" fontId="42" fillId="0" borderId="0">
      <alignment horizontal="right" vertical="center"/>
    </xf>
    <xf numFmtId="0" fontId="43" fillId="0" borderId="0">
      <alignment horizontal="right" vertical="center"/>
    </xf>
    <xf numFmtId="0" fontId="44" fillId="0" borderId="0">
      <alignment horizontal="right" vertical="center"/>
    </xf>
    <xf numFmtId="0" fontId="45" fillId="0" borderId="0">
      <alignment horizontal="right" vertical="center"/>
    </xf>
    <xf numFmtId="0" fontId="48" fillId="0" borderId="0">
      <alignment horizontal="right" vertical="center"/>
    </xf>
    <xf numFmtId="0" fontId="67" fillId="0" borderId="0"/>
    <xf numFmtId="0" fontId="70" fillId="0" borderId="0"/>
    <xf numFmtId="0" fontId="67" fillId="0" borderId="0"/>
    <xf numFmtId="0" fontId="67" fillId="0" borderId="0"/>
    <xf numFmtId="0" fontId="3" fillId="0" borderId="0">
      <alignment horizontal="right" vertical="center"/>
    </xf>
    <xf numFmtId="0" fontId="3" fillId="0" borderId="0">
      <alignment vertical="top"/>
    </xf>
    <xf numFmtId="0" fontId="1" fillId="0" borderId="0">
      <alignment vertical="top"/>
    </xf>
    <xf numFmtId="0" fontId="1" fillId="0" borderId="0"/>
    <xf numFmtId="0" fontId="61" fillId="0" borderId="0">
      <alignment horizontal="right" vertical="center"/>
    </xf>
    <xf numFmtId="0" fontId="25" fillId="0" borderId="0">
      <alignment horizontal="right" vertical="center"/>
    </xf>
    <xf numFmtId="0" fontId="25" fillId="0" borderId="0">
      <alignment horizontal="right" vertical="center"/>
    </xf>
    <xf numFmtId="0" fontId="3" fillId="0" borderId="0"/>
    <xf numFmtId="0" fontId="3" fillId="0" borderId="0">
      <alignment vertical="top"/>
    </xf>
    <xf numFmtId="0" fontId="26" fillId="0" borderId="0">
      <alignment vertical="top"/>
    </xf>
    <xf numFmtId="0" fontId="67" fillId="0" borderId="0"/>
    <xf numFmtId="0" fontId="3" fillId="0" borderId="0">
      <alignment horizontal="right" vertical="center"/>
    </xf>
    <xf numFmtId="0" fontId="1" fillId="0" borderId="0">
      <alignment horizontal="right" vertical="center"/>
    </xf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9" fillId="0" borderId="0">
      <alignment vertical="top"/>
    </xf>
  </cellStyleXfs>
  <cellXfs count="2092">
    <xf numFmtId="0" fontId="0" fillId="0" borderId="0" xfId="0" applyAlignme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/>
    <xf numFmtId="0" fontId="3" fillId="0" borderId="2" xfId="0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/>
    <xf numFmtId="0" fontId="5" fillId="0" borderId="0" xfId="40" applyFont="1" applyFill="1"/>
    <xf numFmtId="0" fontId="5" fillId="0" borderId="2" xfId="0" applyFont="1" applyBorder="1" applyAlignment="1">
      <alignment horizontal="right" vertical="top"/>
    </xf>
    <xf numFmtId="0" fontId="3" fillId="0" borderId="0" xfId="0" applyFont="1" applyBorder="1" applyAlignment="1"/>
    <xf numFmtId="165" fontId="5" fillId="0" borderId="1" xfId="0" applyNumberFormat="1" applyFont="1" applyBorder="1" applyAlignment="1"/>
    <xf numFmtId="165" fontId="5" fillId="0" borderId="1" xfId="2" applyFont="1" applyFill="1" applyBorder="1"/>
    <xf numFmtId="0" fontId="6" fillId="0" borderId="0" xfId="40" applyFont="1" applyFill="1"/>
    <xf numFmtId="0" fontId="3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5" fillId="0" borderId="6" xfId="0" applyNumberFormat="1" applyFont="1" applyBorder="1" applyAlignment="1"/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165" fontId="5" fillId="0" borderId="10" xfId="0" applyNumberFormat="1" applyFont="1" applyBorder="1" applyAlignment="1"/>
    <xf numFmtId="0" fontId="3" fillId="0" borderId="11" xfId="0" applyFont="1" applyBorder="1" applyAlignment="1">
      <alignment horizontal="left" vertical="top" wrapText="1"/>
    </xf>
    <xf numFmtId="165" fontId="5" fillId="0" borderId="12" xfId="2" applyFont="1" applyBorder="1"/>
    <xf numFmtId="165" fontId="5" fillId="0" borderId="13" xfId="2" applyFont="1" applyBorder="1"/>
    <xf numFmtId="165" fontId="6" fillId="0" borderId="14" xfId="2" applyFont="1" applyBorder="1"/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165" fontId="5" fillId="0" borderId="15" xfId="2" applyFont="1" applyBorder="1"/>
    <xf numFmtId="165" fontId="5" fillId="0" borderId="16" xfId="2" applyFont="1" applyBorder="1"/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0" borderId="6" xfId="2" applyFont="1" applyFill="1" applyBorder="1"/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12" xfId="0" applyFont="1" applyBorder="1" applyAlignment="1"/>
    <xf numFmtId="0" fontId="3" fillId="0" borderId="13" xfId="0" applyFont="1" applyBorder="1" applyAlignment="1"/>
    <xf numFmtId="2" fontId="3" fillId="0" borderId="1" xfId="0" applyNumberFormat="1" applyFont="1" applyBorder="1" applyAlignment="1"/>
    <xf numFmtId="0" fontId="3" fillId="0" borderId="0" xfId="0" applyFont="1" applyAlignment="1">
      <alignment vertical="center"/>
    </xf>
    <xf numFmtId="165" fontId="3" fillId="0" borderId="8" xfId="0" applyNumberFormat="1" applyFont="1" applyBorder="1" applyAlignment="1"/>
    <xf numFmtId="165" fontId="3" fillId="0" borderId="0" xfId="0" applyNumberFormat="1" applyFont="1" applyAlignment="1"/>
    <xf numFmtId="0" fontId="3" fillId="0" borderId="17" xfId="0" applyFont="1" applyBorder="1" applyAlignment="1"/>
    <xf numFmtId="0" fontId="3" fillId="0" borderId="21" xfId="0" applyFont="1" applyBorder="1" applyAlignment="1"/>
    <xf numFmtId="0" fontId="8" fillId="0" borderId="0" xfId="0" applyFont="1" applyAlignment="1"/>
    <xf numFmtId="0" fontId="14" fillId="0" borderId="0" xfId="0" applyFont="1" applyAlignment="1"/>
    <xf numFmtId="0" fontId="14" fillId="0" borderId="2" xfId="0" applyFont="1" applyBorder="1" applyAlignment="1"/>
    <xf numFmtId="0" fontId="14" fillId="0" borderId="1" xfId="0" applyFont="1" applyBorder="1" applyAlignment="1"/>
    <xf numFmtId="2" fontId="14" fillId="0" borderId="0" xfId="0" applyNumberFormat="1" applyFont="1" applyAlignment="1"/>
    <xf numFmtId="0" fontId="16" fillId="0" borderId="0" xfId="0" applyFont="1" applyAlignment="1"/>
    <xf numFmtId="0" fontId="2" fillId="2" borderId="1" xfId="0" applyFont="1" applyFill="1" applyBorder="1" applyAlignment="1"/>
    <xf numFmtId="0" fontId="14" fillId="0" borderId="0" xfId="0" applyFont="1" applyAlignment="1">
      <alignment horizontal="right"/>
    </xf>
    <xf numFmtId="0" fontId="3" fillId="0" borderId="0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65" fontId="14" fillId="0" borderId="0" xfId="0" applyNumberFormat="1" applyFont="1" applyAlignment="1"/>
    <xf numFmtId="0" fontId="3" fillId="0" borderId="1" xfId="0" applyFont="1" applyBorder="1" applyAlignment="1">
      <alignment wrapText="1"/>
    </xf>
    <xf numFmtId="0" fontId="3" fillId="0" borderId="24" xfId="0" applyFont="1" applyBorder="1" applyAlignme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top" wrapText="1"/>
    </xf>
    <xf numFmtId="165" fontId="6" fillId="0" borderId="27" xfId="2" applyFont="1" applyBorder="1"/>
    <xf numFmtId="0" fontId="8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/>
    </xf>
    <xf numFmtId="2" fontId="3" fillId="0" borderId="0" xfId="0" applyNumberFormat="1" applyFont="1" applyAlignment="1"/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28" xfId="2" applyFont="1" applyBorder="1" applyAlignment="1">
      <alignment vertical="center" wrapText="1"/>
    </xf>
    <xf numFmtId="165" fontId="3" fillId="0" borderId="10" xfId="2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2" fillId="4" borderId="0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165" fontId="3" fillId="0" borderId="1" xfId="2" applyFont="1" applyBorder="1" applyAlignment="1">
      <alignment vertical="center" wrapText="1"/>
    </xf>
    <xf numFmtId="0" fontId="3" fillId="0" borderId="29" xfId="0" applyFont="1" applyBorder="1" applyAlignment="1"/>
    <xf numFmtId="0" fontId="3" fillId="0" borderId="29" xfId="0" applyFont="1" applyBorder="1" applyAlignment="1">
      <alignment horizontal="right"/>
    </xf>
    <xf numFmtId="0" fontId="3" fillId="0" borderId="0" xfId="0" applyFont="1" applyAlignment="1">
      <alignment horizontal="justify"/>
    </xf>
    <xf numFmtId="0" fontId="2" fillId="0" borderId="4" xfId="0" applyFont="1" applyBorder="1" applyAlignment="1">
      <alignment horizontal="justify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top" wrapText="1"/>
    </xf>
    <xf numFmtId="165" fontId="3" fillId="0" borderId="1" xfId="0" applyNumberFormat="1" applyFont="1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32" xfId="0" applyFont="1" applyBorder="1" applyAlignment="1"/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8" fillId="3" borderId="0" xfId="0" applyFont="1" applyFill="1" applyAlignment="1"/>
    <xf numFmtId="0" fontId="8" fillId="4" borderId="0" xfId="0" applyFont="1" applyFill="1" applyBorder="1" applyAlignment="1">
      <alignment vertical="center"/>
    </xf>
    <xf numFmtId="0" fontId="14" fillId="4" borderId="0" xfId="0" applyFont="1" applyFill="1" applyAlignment="1"/>
    <xf numFmtId="0" fontId="8" fillId="4" borderId="0" xfId="0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6" xfId="0" applyFont="1" applyBorder="1" applyAlignment="1"/>
    <xf numFmtId="0" fontId="14" fillId="0" borderId="33" xfId="0" applyFont="1" applyBorder="1" applyAlignment="1">
      <alignment vertical="top" wrapText="1"/>
    </xf>
    <xf numFmtId="0" fontId="8" fillId="0" borderId="34" xfId="0" applyFont="1" applyBorder="1" applyAlignment="1">
      <alignment horizontal="center"/>
    </xf>
    <xf numFmtId="0" fontId="14" fillId="0" borderId="34" xfId="0" applyFont="1" applyBorder="1" applyAlignment="1">
      <alignment vertical="top" wrapText="1"/>
    </xf>
    <xf numFmtId="0" fontId="8" fillId="0" borderId="34" xfId="0" applyFont="1" applyBorder="1" applyAlignment="1">
      <alignment vertical="top" wrapText="1"/>
    </xf>
    <xf numFmtId="0" fontId="14" fillId="0" borderId="35" xfId="0" applyFont="1" applyBorder="1" applyAlignment="1"/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21" xfId="0" applyFont="1" applyBorder="1" applyAlignment="1">
      <alignment wrapText="1"/>
    </xf>
    <xf numFmtId="0" fontId="8" fillId="0" borderId="19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14" fillId="0" borderId="36" xfId="0" applyFont="1" applyBorder="1" applyAlignment="1"/>
    <xf numFmtId="0" fontId="14" fillId="0" borderId="17" xfId="0" applyFont="1" applyBorder="1" applyAlignment="1"/>
    <xf numFmtId="0" fontId="14" fillId="0" borderId="8" xfId="0" applyFont="1" applyBorder="1" applyAlignment="1"/>
    <xf numFmtId="0" fontId="14" fillId="0" borderId="37" xfId="0" applyFont="1" applyBorder="1" applyAlignment="1"/>
    <xf numFmtId="0" fontId="14" fillId="0" borderId="20" xfId="0" applyFont="1" applyBorder="1" applyAlignment="1"/>
    <xf numFmtId="0" fontId="14" fillId="0" borderId="22" xfId="0" applyFont="1" applyBorder="1" applyAlignment="1"/>
    <xf numFmtId="0" fontId="14" fillId="0" borderId="19" xfId="0" applyFont="1" applyBorder="1" applyAlignment="1"/>
    <xf numFmtId="165" fontId="3" fillId="0" borderId="21" xfId="0" applyNumberFormat="1" applyFont="1" applyBorder="1" applyAlignment="1"/>
    <xf numFmtId="0" fontId="3" fillId="0" borderId="7" xfId="0" applyFont="1" applyBorder="1" applyAlignment="1"/>
    <xf numFmtId="0" fontId="14" fillId="0" borderId="38" xfId="0" applyFont="1" applyBorder="1" applyAlignment="1"/>
    <xf numFmtId="165" fontId="14" fillId="0" borderId="1" xfId="0" applyNumberFormat="1" applyFont="1" applyBorder="1" applyAlignment="1"/>
    <xf numFmtId="0" fontId="14" fillId="0" borderId="8" xfId="0" applyFont="1" applyBorder="1" applyAlignment="1">
      <alignment horizontal="right"/>
    </xf>
    <xf numFmtId="0" fontId="14" fillId="0" borderId="39" xfId="0" applyFont="1" applyBorder="1" applyAlignment="1">
      <alignment horizontal="right"/>
    </xf>
    <xf numFmtId="0" fontId="14" fillId="0" borderId="40" xfId="0" applyFont="1" applyBorder="1" applyAlignment="1"/>
    <xf numFmtId="0" fontId="8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44" xfId="0" applyFont="1" applyBorder="1" applyAlignment="1">
      <alignment vertical="top"/>
    </xf>
    <xf numFmtId="0" fontId="3" fillId="0" borderId="1" xfId="0" applyFont="1" applyFill="1" applyBorder="1" applyAlignment="1"/>
    <xf numFmtId="0" fontId="3" fillId="0" borderId="43" xfId="0" applyFont="1" applyBorder="1" applyAlignment="1"/>
    <xf numFmtId="0" fontId="3" fillId="0" borderId="10" xfId="0" applyFont="1" applyBorder="1" applyAlignment="1"/>
    <xf numFmtId="0" fontId="3" fillId="0" borderId="44" xfId="0" applyFont="1" applyBorder="1" applyAlignment="1"/>
    <xf numFmtId="0" fontId="3" fillId="0" borderId="28" xfId="0" applyFont="1" applyBorder="1" applyAlignment="1"/>
    <xf numFmtId="0" fontId="3" fillId="0" borderId="44" xfId="0" applyFont="1" applyBorder="1" applyAlignment="1">
      <alignment vertical="top" wrapText="1"/>
    </xf>
    <xf numFmtId="0" fontId="14" fillId="0" borderId="45" xfId="0" applyFont="1" applyBorder="1" applyAlignment="1"/>
    <xf numFmtId="0" fontId="2" fillId="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4" xfId="40" applyFont="1" applyFill="1" applyBorder="1" applyAlignment="1">
      <alignment horizontal="center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indent="1"/>
    </xf>
    <xf numFmtId="0" fontId="5" fillId="0" borderId="6" xfId="40" applyFont="1" applyFill="1" applyBorder="1"/>
    <xf numFmtId="0" fontId="6" fillId="6" borderId="26" xfId="40" applyFont="1" applyFill="1" applyBorder="1" applyAlignment="1">
      <alignment horizontal="center" wrapText="1"/>
    </xf>
    <xf numFmtId="165" fontId="5" fillId="0" borderId="10" xfId="2" applyFont="1" applyFill="1" applyBorder="1"/>
    <xf numFmtId="0" fontId="6" fillId="0" borderId="7" xfId="0" applyFont="1" applyBorder="1" applyAlignment="1">
      <alignment horizontal="left" vertical="top" indent="1"/>
    </xf>
    <xf numFmtId="0" fontId="6" fillId="0" borderId="46" xfId="0" applyFont="1" applyBorder="1" applyAlignment="1">
      <alignment horizontal="left" vertical="top" indent="1"/>
    </xf>
    <xf numFmtId="0" fontId="5" fillId="0" borderId="20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2" fontId="2" fillId="0" borderId="1" xfId="0" applyNumberFormat="1" applyFont="1" applyBorder="1" applyAlignment="1"/>
    <xf numFmtId="0" fontId="2" fillId="0" borderId="41" xfId="0" applyFont="1" applyBorder="1" applyAlignment="1">
      <alignment horizontal="center"/>
    </xf>
    <xf numFmtId="0" fontId="3" fillId="0" borderId="47" xfId="0" applyFont="1" applyBorder="1" applyAlignment="1"/>
    <xf numFmtId="0" fontId="3" fillId="0" borderId="46" xfId="0" applyFont="1" applyBorder="1" applyAlignment="1">
      <alignment wrapText="1"/>
    </xf>
    <xf numFmtId="0" fontId="3" fillId="0" borderId="46" xfId="0" applyFont="1" applyBorder="1" applyAlignment="1"/>
    <xf numFmtId="0" fontId="3" fillId="0" borderId="21" xfId="0" applyFont="1" applyBorder="1" applyAlignment="1">
      <alignment vertical="top"/>
    </xf>
    <xf numFmtId="0" fontId="3" fillId="0" borderId="21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4" fillId="0" borderId="38" xfId="0" applyFont="1" applyBorder="1" applyAlignment="1">
      <alignment wrapText="1"/>
    </xf>
    <xf numFmtId="0" fontId="14" fillId="0" borderId="8" xfId="0" applyFont="1" applyBorder="1" applyAlignment="1">
      <alignment wrapText="1"/>
    </xf>
    <xf numFmtId="165" fontId="5" fillId="0" borderId="6" xfId="2" applyFont="1" applyBorder="1" applyAlignment="1">
      <alignment vertical="top"/>
    </xf>
    <xf numFmtId="9" fontId="2" fillId="0" borderId="0" xfId="0" applyNumberFormat="1" applyFont="1" applyBorder="1" applyAlignment="1">
      <alignment horizontal="center" vertical="center" wrapText="1"/>
    </xf>
    <xf numFmtId="165" fontId="3" fillId="0" borderId="0" xfId="2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2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1" fontId="3" fillId="0" borderId="1" xfId="0" applyNumberFormat="1" applyFont="1" applyBorder="1" applyAlignment="1"/>
    <xf numFmtId="0" fontId="2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165" fontId="2" fillId="0" borderId="10" xfId="2" applyFont="1" applyBorder="1" applyAlignment="1">
      <alignment vertical="center" wrapText="1"/>
    </xf>
    <xf numFmtId="0" fontId="3" fillId="0" borderId="1" xfId="0" applyFont="1" applyBorder="1" applyAlignment="1">
      <alignment vertical="top"/>
    </xf>
    <xf numFmtId="165" fontId="2" fillId="0" borderId="1" xfId="0" applyNumberFormat="1" applyFont="1" applyBorder="1" applyAlignment="1"/>
    <xf numFmtId="0" fontId="3" fillId="0" borderId="17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2" fillId="2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0" fontId="3" fillId="0" borderId="1" xfId="41" applyNumberFormat="1" applyFont="1" applyBorder="1"/>
    <xf numFmtId="0" fontId="24" fillId="0" borderId="0" xfId="0" applyFont="1" applyAlignment="1"/>
    <xf numFmtId="165" fontId="6" fillId="0" borderId="49" xfId="0" applyNumberFormat="1" applyFont="1" applyBorder="1" applyAlignment="1"/>
    <xf numFmtId="0" fontId="5" fillId="0" borderId="1" xfId="40" applyFont="1" applyFill="1" applyBorder="1"/>
    <xf numFmtId="165" fontId="5" fillId="0" borderId="1" xfId="40" applyNumberFormat="1" applyFont="1" applyFill="1" applyBorder="1"/>
    <xf numFmtId="2" fontId="5" fillId="0" borderId="1" xfId="40" applyNumberFormat="1" applyFont="1" applyFill="1" applyBorder="1"/>
    <xf numFmtId="0" fontId="5" fillId="0" borderId="10" xfId="40" applyFont="1" applyFill="1" applyBorder="1"/>
    <xf numFmtId="165" fontId="6" fillId="5" borderId="50" xfId="2" applyFont="1" applyFill="1" applyBorder="1" applyAlignment="1">
      <alignment horizontal="center" wrapText="1"/>
    </xf>
    <xf numFmtId="10" fontId="5" fillId="0" borderId="50" xfId="41" applyNumberFormat="1" applyFont="1" applyFill="1" applyBorder="1"/>
    <xf numFmtId="165" fontId="5" fillId="0" borderId="50" xfId="2" applyFont="1" applyFill="1" applyBorder="1"/>
    <xf numFmtId="165" fontId="5" fillId="0" borderId="0" xfId="2" applyFont="1" applyFill="1" applyBorder="1"/>
    <xf numFmtId="165" fontId="5" fillId="0" borderId="44" xfId="2" applyFont="1" applyFill="1" applyBorder="1"/>
    <xf numFmtId="165" fontId="6" fillId="0" borderId="51" xfId="2" applyFont="1" applyFill="1" applyBorder="1"/>
    <xf numFmtId="165" fontId="5" fillId="0" borderId="5" xfId="2" applyFont="1" applyBorder="1" applyAlignment="1">
      <alignment vertical="top"/>
    </xf>
    <xf numFmtId="2" fontId="5" fillId="0" borderId="1" xfId="2" quotePrefix="1" applyNumberFormat="1" applyFont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center" wrapText="1"/>
    </xf>
    <xf numFmtId="165" fontId="14" fillId="0" borderId="1" xfId="0" applyNumberFormat="1" applyFont="1" applyBorder="1" applyAlignment="1">
      <alignment vertical="center"/>
    </xf>
    <xf numFmtId="0" fontId="3" fillId="5" borderId="8" xfId="0" applyFont="1" applyFill="1" applyBorder="1" applyAlignment="1"/>
    <xf numFmtId="0" fontId="3" fillId="5" borderId="39" xfId="0" applyFont="1" applyFill="1" applyBorder="1" applyAlignment="1"/>
    <xf numFmtId="10" fontId="2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/>
    </xf>
    <xf numFmtId="0" fontId="73" fillId="0" borderId="0" xfId="0" applyFont="1" applyBorder="1" applyAlignment="1"/>
    <xf numFmtId="0" fontId="5" fillId="0" borderId="16" xfId="40" applyFont="1" applyFill="1" applyBorder="1"/>
    <xf numFmtId="0" fontId="6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 indent="1"/>
    </xf>
    <xf numFmtId="0" fontId="3" fillId="0" borderId="22" xfId="0" applyFont="1" applyBorder="1" applyAlignment="1">
      <alignment horizontal="left" vertical="top" wrapText="1" indent="1"/>
    </xf>
    <xf numFmtId="0" fontId="2" fillId="0" borderId="52" xfId="0" applyFont="1" applyBorder="1" applyAlignment="1">
      <alignment horizontal="left" vertical="top" wrapText="1" indent="1"/>
    </xf>
    <xf numFmtId="165" fontId="5" fillId="0" borderId="2" xfId="0" applyNumberFormat="1" applyFont="1" applyBorder="1" applyAlignment="1"/>
    <xf numFmtId="0" fontId="3" fillId="0" borderId="5" xfId="0" applyFont="1" applyBorder="1" applyAlignment="1">
      <alignment vertical="top"/>
    </xf>
    <xf numFmtId="0" fontId="3" fillId="0" borderId="4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165" fontId="14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29" fillId="0" borderId="0" xfId="34" applyFont="1"/>
    <xf numFmtId="0" fontId="32" fillId="0" borderId="0" xfId="34" applyFont="1"/>
    <xf numFmtId="0" fontId="74" fillId="0" borderId="0" xfId="34" applyFont="1"/>
    <xf numFmtId="0" fontId="35" fillId="0" borderId="0" xfId="34" applyFont="1"/>
    <xf numFmtId="0" fontId="32" fillId="0" borderId="0" xfId="34" applyFont="1" applyAlignment="1">
      <alignment wrapText="1"/>
    </xf>
    <xf numFmtId="0" fontId="33" fillId="0" borderId="0" xfId="34" applyFont="1"/>
    <xf numFmtId="2" fontId="31" fillId="0" borderId="1" xfId="34" applyNumberFormat="1" applyFont="1" applyBorder="1"/>
    <xf numFmtId="0" fontId="31" fillId="0" borderId="1" xfId="34" applyFont="1" applyBorder="1"/>
    <xf numFmtId="0" fontId="31" fillId="0" borderId="1" xfId="34" applyFont="1" applyBorder="1" applyAlignment="1">
      <alignment wrapText="1"/>
    </xf>
    <xf numFmtId="0" fontId="32" fillId="0" borderId="1" xfId="34" applyFont="1" applyBorder="1"/>
    <xf numFmtId="165" fontId="5" fillId="0" borderId="0" xfId="0" applyNumberFormat="1" applyFont="1" applyFill="1" applyBorder="1" applyAlignment="1"/>
    <xf numFmtId="2" fontId="3" fillId="0" borderId="46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0" fontId="2" fillId="2" borderId="54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 vertical="top" wrapText="1"/>
    </xf>
    <xf numFmtId="0" fontId="36" fillId="0" borderId="44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43" xfId="0" applyFont="1" applyBorder="1" applyAlignment="1">
      <alignment horizontal="center" vertical="top" wrapText="1"/>
    </xf>
    <xf numFmtId="0" fontId="37" fillId="0" borderId="10" xfId="0" applyFont="1" applyBorder="1" applyAlignment="1"/>
    <xf numFmtId="0" fontId="37" fillId="0" borderId="44" xfId="0" applyFont="1" applyBorder="1" applyAlignment="1"/>
    <xf numFmtId="0" fontId="36" fillId="0" borderId="55" xfId="0" applyFont="1" applyBorder="1" applyAlignment="1">
      <alignment wrapText="1"/>
    </xf>
    <xf numFmtId="171" fontId="36" fillId="0" borderId="10" xfId="7" applyNumberFormat="1" applyFont="1" applyBorder="1"/>
    <xf numFmtId="0" fontId="36" fillId="0" borderId="29" xfId="0" applyFont="1" applyBorder="1" applyAlignment="1"/>
    <xf numFmtId="0" fontId="36" fillId="0" borderId="0" xfId="0" applyFont="1" applyBorder="1" applyAlignment="1"/>
    <xf numFmtId="0" fontId="36" fillId="0" borderId="56" xfId="0" applyFont="1" applyBorder="1" applyAlignment="1"/>
    <xf numFmtId="171" fontId="36" fillId="0" borderId="29" xfId="7" applyNumberFormat="1" applyFont="1" applyBorder="1"/>
    <xf numFmtId="0" fontId="36" fillId="0" borderId="12" xfId="0" applyFont="1" applyBorder="1" applyAlignment="1"/>
    <xf numFmtId="0" fontId="36" fillId="0" borderId="43" xfId="0" applyFont="1" applyBorder="1" applyAlignment="1"/>
    <xf numFmtId="0" fontId="36" fillId="0" borderId="57" xfId="0" applyFont="1" applyBorder="1" applyAlignment="1">
      <alignment wrapText="1"/>
    </xf>
    <xf numFmtId="171" fontId="36" fillId="0" borderId="12" xfId="7" applyNumberFormat="1" applyFont="1" applyBorder="1"/>
    <xf numFmtId="0" fontId="36" fillId="0" borderId="55" xfId="0" applyFont="1" applyBorder="1" applyAlignment="1"/>
    <xf numFmtId="171" fontId="36" fillId="0" borderId="55" xfId="7" applyNumberFormat="1" applyFont="1" applyBorder="1"/>
    <xf numFmtId="171" fontId="36" fillId="0" borderId="56" xfId="7" applyNumberFormat="1" applyFont="1" applyBorder="1"/>
    <xf numFmtId="171" fontId="12" fillId="0" borderId="29" xfId="7" applyNumberFormat="1" applyFont="1" applyBorder="1"/>
    <xf numFmtId="0" fontId="37" fillId="0" borderId="57" xfId="0" applyFont="1" applyBorder="1" applyAlignment="1">
      <alignment horizontal="center"/>
    </xf>
    <xf numFmtId="171" fontId="36" fillId="0" borderId="57" xfId="7" applyNumberFormat="1" applyFont="1" applyBorder="1"/>
    <xf numFmtId="171" fontId="37" fillId="0" borderId="12" xfId="7" applyNumberFormat="1" applyFont="1" applyBorder="1"/>
    <xf numFmtId="0" fontId="37" fillId="0" borderId="29" xfId="0" applyFont="1" applyFill="1" applyBorder="1" applyAlignment="1"/>
    <xf numFmtId="0" fontId="37" fillId="0" borderId="0" xfId="0" applyFont="1" applyBorder="1" applyAlignment="1"/>
    <xf numFmtId="0" fontId="36" fillId="0" borderId="29" xfId="0" applyFont="1" applyBorder="1" applyAlignment="1">
      <alignment horizontal="right"/>
    </xf>
    <xf numFmtId="0" fontId="37" fillId="0" borderId="0" xfId="0" applyFont="1" applyAlignment="1"/>
    <xf numFmtId="0" fontId="37" fillId="0" borderId="0" xfId="0" applyFont="1" applyAlignment="1">
      <alignment horizontal="right"/>
    </xf>
    <xf numFmtId="0" fontId="36" fillId="0" borderId="32" xfId="0" applyFont="1" applyBorder="1" applyAlignment="1">
      <alignment horizontal="center" vertical="top" wrapText="1"/>
    </xf>
    <xf numFmtId="0" fontId="36" fillId="0" borderId="10" xfId="0" applyFont="1" applyBorder="1" applyAlignment="1">
      <alignment wrapText="1"/>
    </xf>
    <xf numFmtId="0" fontId="37" fillId="0" borderId="32" xfId="0" applyFont="1" applyBorder="1" applyAlignment="1"/>
    <xf numFmtId="0" fontId="4" fillId="0" borderId="55" xfId="0" applyFont="1" applyBorder="1" applyAlignment="1">
      <alignment wrapText="1"/>
    </xf>
    <xf numFmtId="0" fontId="36" fillId="0" borderId="28" xfId="0" applyFont="1" applyBorder="1" applyAlignment="1"/>
    <xf numFmtId="0" fontId="21" fillId="0" borderId="29" xfId="0" applyFont="1" applyBorder="1" applyAlignment="1"/>
    <xf numFmtId="2" fontId="21" fillId="0" borderId="28" xfId="0" applyNumberFormat="1" applyFont="1" applyBorder="1" applyAlignment="1"/>
    <xf numFmtId="0" fontId="21" fillId="0" borderId="0" xfId="0" applyFont="1" applyBorder="1" applyAlignment="1"/>
    <xf numFmtId="0" fontId="36" fillId="0" borderId="9" xfId="0" applyFont="1" applyBorder="1" applyAlignment="1"/>
    <xf numFmtId="0" fontId="36" fillId="0" borderId="41" xfId="0" applyFont="1" applyBorder="1" applyAlignment="1"/>
    <xf numFmtId="0" fontId="4" fillId="0" borderId="9" xfId="0" applyFont="1" applyBorder="1" applyAlignment="1"/>
    <xf numFmtId="0" fontId="4" fillId="0" borderId="58" xfId="0" applyFont="1" applyBorder="1" applyAlignment="1"/>
    <xf numFmtId="0" fontId="4" fillId="0" borderId="41" xfId="0" applyFont="1" applyBorder="1" applyAlignment="1"/>
    <xf numFmtId="0" fontId="4" fillId="0" borderId="59" xfId="0" applyFont="1" applyBorder="1" applyAlignment="1"/>
    <xf numFmtId="0" fontId="2" fillId="0" borderId="50" xfId="0" applyFont="1" applyBorder="1" applyAlignment="1">
      <alignment horizontal="left" vertical="center" wrapText="1"/>
    </xf>
    <xf numFmtId="0" fontId="36" fillId="0" borderId="3" xfId="0" applyFont="1" applyBorder="1" applyAlignment="1"/>
    <xf numFmtId="0" fontId="36" fillId="0" borderId="44" xfId="0" applyFont="1" applyBorder="1" applyAlignment="1"/>
    <xf numFmtId="0" fontId="4" fillId="0" borderId="55" xfId="0" applyFont="1" applyBorder="1" applyAlignment="1"/>
    <xf numFmtId="0" fontId="36" fillId="0" borderId="10" xfId="0" applyFont="1" applyBorder="1" applyAlignment="1"/>
    <xf numFmtId="165" fontId="5" fillId="0" borderId="16" xfId="0" applyNumberFormat="1" applyFont="1" applyBorder="1" applyAlignment="1"/>
    <xf numFmtId="165" fontId="5" fillId="0" borderId="52" xfId="0" applyNumberFormat="1" applyFont="1" applyBorder="1" applyAlignment="1"/>
    <xf numFmtId="165" fontId="5" fillId="0" borderId="3" xfId="0" applyNumberFormat="1" applyFont="1" applyBorder="1" applyAlignment="1"/>
    <xf numFmtId="0" fontId="5" fillId="0" borderId="45" xfId="40" applyFont="1" applyFill="1" applyBorder="1"/>
    <xf numFmtId="0" fontId="5" fillId="0" borderId="32" xfId="40" applyFont="1" applyFill="1" applyBorder="1"/>
    <xf numFmtId="0" fontId="3" fillId="0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5" fillId="0" borderId="0" xfId="0" applyFont="1" applyAlignment="1"/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36" fillId="0" borderId="43" xfId="0" applyFont="1" applyBorder="1" applyAlignment="1">
      <alignment horizontal="right"/>
    </xf>
    <xf numFmtId="0" fontId="37" fillId="0" borderId="44" xfId="0" applyFont="1" applyBorder="1" applyAlignment="1">
      <alignment horizontal="right"/>
    </xf>
    <xf numFmtId="0" fontId="76" fillId="0" borderId="0" xfId="0" applyFont="1" applyAlignment="1"/>
    <xf numFmtId="0" fontId="71" fillId="0" borderId="1" xfId="0" applyFont="1" applyBorder="1" applyAlignment="1">
      <alignment horizontal="right" vertical="center"/>
    </xf>
    <xf numFmtId="0" fontId="71" fillId="0" borderId="0" xfId="0" applyFont="1" applyAlignment="1"/>
    <xf numFmtId="0" fontId="2" fillId="0" borderId="1" xfId="0" applyFont="1" applyFill="1" applyBorder="1" applyAlignment="1"/>
    <xf numFmtId="0" fontId="75" fillId="0" borderId="0" xfId="0" applyFont="1" applyBorder="1" applyAlignment="1"/>
    <xf numFmtId="0" fontId="73" fillId="0" borderId="0" xfId="0" applyFont="1" applyAlignment="1"/>
    <xf numFmtId="0" fontId="75" fillId="0" borderId="1" xfId="0" applyFont="1" applyBorder="1" applyAlignment="1"/>
    <xf numFmtId="0" fontId="77" fillId="0" borderId="1" xfId="0" applyFont="1" applyBorder="1" applyAlignment="1"/>
    <xf numFmtId="2" fontId="3" fillId="0" borderId="2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6" fillId="2" borderId="60" xfId="0" applyFont="1" applyFill="1" applyBorder="1" applyAlignment="1">
      <alignment horizontal="center" vertical="top"/>
    </xf>
    <xf numFmtId="0" fontId="2" fillId="2" borderId="60" xfId="0" applyFont="1" applyFill="1" applyBorder="1" applyAlignment="1">
      <alignment horizontal="center"/>
    </xf>
    <xf numFmtId="0" fontId="14" fillId="0" borderId="61" xfId="0" applyFont="1" applyBorder="1" applyAlignment="1"/>
    <xf numFmtId="0" fontId="14" fillId="0" borderId="13" xfId="0" applyFont="1" applyBorder="1" applyAlignment="1"/>
    <xf numFmtId="0" fontId="5" fillId="0" borderId="1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62" xfId="0" applyFont="1" applyBorder="1" applyAlignment="1">
      <alignment horizontal="center" vertical="top" wrapText="1"/>
    </xf>
    <xf numFmtId="165" fontId="5" fillId="0" borderId="5" xfId="0" applyNumberFormat="1" applyFont="1" applyBorder="1" applyAlignment="1"/>
    <xf numFmtId="165" fontId="5" fillId="0" borderId="55" xfId="0" applyNumberFormat="1" applyFont="1" applyBorder="1" applyAlignment="1"/>
    <xf numFmtId="165" fontId="5" fillId="0" borderId="50" xfId="0" applyNumberFormat="1" applyFont="1" applyBorder="1" applyAlignment="1"/>
    <xf numFmtId="165" fontId="5" fillId="0" borderId="17" xfId="0" applyNumberFormat="1" applyFont="1" applyBorder="1" applyAlignment="1"/>
    <xf numFmtId="165" fontId="5" fillId="0" borderId="18" xfId="0" applyNumberFormat="1" applyFont="1" applyBorder="1" applyAlignment="1"/>
    <xf numFmtId="165" fontId="5" fillId="0" borderId="19" xfId="0" applyNumberFormat="1" applyFont="1" applyBorder="1" applyAlignment="1"/>
    <xf numFmtId="165" fontId="5" fillId="0" borderId="49" xfId="0" applyNumberFormat="1" applyFont="1" applyBorder="1" applyAlignment="1"/>
    <xf numFmtId="165" fontId="5" fillId="0" borderId="51" xfId="0" applyNumberFormat="1" applyFont="1" applyBorder="1" applyAlignment="1"/>
    <xf numFmtId="0" fontId="14" fillId="0" borderId="1" xfId="0" applyFont="1" applyBorder="1" applyAlignment="1">
      <alignment vertical="top"/>
    </xf>
    <xf numFmtId="0" fontId="14" fillId="0" borderId="2" xfId="0" applyFont="1" applyBorder="1" applyAlignment="1">
      <alignment vertical="top"/>
    </xf>
    <xf numFmtId="0" fontId="14" fillId="0" borderId="6" xfId="0" applyFont="1" applyBorder="1" applyAlignment="1">
      <alignment vertical="top"/>
    </xf>
    <xf numFmtId="0" fontId="5" fillId="0" borderId="6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2" fillId="0" borderId="55" xfId="0" applyFont="1" applyBorder="1" applyAlignment="1">
      <alignment vertical="top" wrapText="1"/>
    </xf>
    <xf numFmtId="165" fontId="5" fillId="0" borderId="16" xfId="2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63" xfId="0" applyFont="1" applyBorder="1" applyAlignment="1">
      <alignment vertical="top" wrapText="1"/>
    </xf>
    <xf numFmtId="165" fontId="6" fillId="0" borderId="63" xfId="2" applyFont="1" applyBorder="1" applyAlignment="1">
      <alignment vertical="top"/>
    </xf>
    <xf numFmtId="165" fontId="5" fillId="0" borderId="57" xfId="2" applyFont="1" applyBorder="1"/>
    <xf numFmtId="165" fontId="5" fillId="0" borderId="55" xfId="2" applyFont="1" applyBorder="1"/>
    <xf numFmtId="165" fontId="6" fillId="0" borderId="51" xfId="2" applyFont="1" applyBorder="1"/>
    <xf numFmtId="0" fontId="14" fillId="0" borderId="6" xfId="0" applyFont="1" applyBorder="1" applyAlignment="1"/>
    <xf numFmtId="0" fontId="14" fillId="0" borderId="5" xfId="0" applyFont="1" applyBorder="1" applyAlignment="1"/>
    <xf numFmtId="0" fontId="14" fillId="0" borderId="12" xfId="0" applyFont="1" applyBorder="1" applyAlignment="1"/>
    <xf numFmtId="0" fontId="14" fillId="0" borderId="15" xfId="0" applyFont="1" applyBorder="1" applyAlignment="1"/>
    <xf numFmtId="0" fontId="14" fillId="0" borderId="57" xfId="0" applyFont="1" applyBorder="1" applyAlignment="1"/>
    <xf numFmtId="165" fontId="5" fillId="0" borderId="61" xfId="2" applyFont="1" applyBorder="1"/>
    <xf numFmtId="165" fontId="6" fillId="0" borderId="23" xfId="2" applyFont="1" applyBorder="1"/>
    <xf numFmtId="0" fontId="5" fillId="0" borderId="5" xfId="40" applyFont="1" applyFill="1" applyBorder="1"/>
    <xf numFmtId="165" fontId="5" fillId="0" borderId="5" xfId="2" applyFont="1" applyFill="1" applyBorder="1"/>
    <xf numFmtId="0" fontId="5" fillId="0" borderId="55" xfId="40" applyFont="1" applyFill="1" applyBorder="1"/>
    <xf numFmtId="0" fontId="5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10" fontId="6" fillId="0" borderId="50" xfId="41" applyNumberFormat="1" applyFont="1" applyFill="1" applyBorder="1"/>
    <xf numFmtId="165" fontId="6" fillId="0" borderId="64" xfId="2" applyFont="1" applyFill="1" applyBorder="1"/>
    <xf numFmtId="0" fontId="6" fillId="0" borderId="28" xfId="40" applyFont="1" applyFill="1" applyBorder="1"/>
    <xf numFmtId="2" fontId="3" fillId="0" borderId="17" xfId="0" applyNumberFormat="1" applyFont="1" applyBorder="1" applyAlignment="1"/>
    <xf numFmtId="165" fontId="14" fillId="0" borderId="5" xfId="0" applyNumberFormat="1" applyFont="1" applyBorder="1" applyAlignment="1">
      <alignment vertical="center"/>
    </xf>
    <xf numFmtId="165" fontId="14" fillId="0" borderId="55" xfId="0" applyNumberFormat="1" applyFont="1" applyBorder="1" applyAlignment="1">
      <alignment vertical="center"/>
    </xf>
    <xf numFmtId="165" fontId="3" fillId="0" borderId="5" xfId="2" applyFont="1" applyBorder="1" applyAlignment="1">
      <alignment vertical="center" wrapText="1"/>
    </xf>
    <xf numFmtId="165" fontId="2" fillId="0" borderId="55" xfId="2" applyFont="1" applyBorder="1" applyAlignment="1">
      <alignment vertical="center" wrapText="1"/>
    </xf>
    <xf numFmtId="169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165" fontId="2" fillId="0" borderId="1" xfId="2" applyFont="1" applyBorder="1" applyAlignment="1">
      <alignment vertical="center" wrapText="1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39" xfId="0" applyFont="1" applyBorder="1" applyAlignment="1"/>
    <xf numFmtId="0" fontId="2" fillId="0" borderId="40" xfId="0" applyFont="1" applyBorder="1" applyAlignment="1">
      <alignment horizontal="center"/>
    </xf>
    <xf numFmtId="0" fontId="2" fillId="0" borderId="5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right" vertical="top" wrapText="1"/>
    </xf>
    <xf numFmtId="0" fontId="20" fillId="0" borderId="8" xfId="0" applyFont="1" applyBorder="1" applyAlignment="1">
      <alignment horizontal="justify" vertical="top" wrapText="1"/>
    </xf>
    <xf numFmtId="0" fontId="3" fillId="0" borderId="39" xfId="0" applyFont="1" applyBorder="1" applyAlignment="1">
      <alignment vertical="top" wrapText="1"/>
    </xf>
    <xf numFmtId="0" fontId="3" fillId="0" borderId="40" xfId="0" applyFont="1" applyBorder="1" applyAlignment="1"/>
    <xf numFmtId="9" fontId="3" fillId="0" borderId="0" xfId="41" applyFont="1" applyAlignment="1">
      <alignment vertical="center"/>
    </xf>
    <xf numFmtId="2" fontId="3" fillId="0" borderId="0" xfId="0" applyNumberFormat="1" applyFont="1" applyBorder="1" applyAlignment="1"/>
    <xf numFmtId="0" fontId="6" fillId="2" borderId="26" xfId="0" applyFont="1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/>
    <xf numFmtId="0" fontId="3" fillId="0" borderId="25" xfId="0" applyFont="1" applyBorder="1" applyAlignment="1"/>
    <xf numFmtId="0" fontId="2" fillId="0" borderId="0" xfId="35" applyFont="1" applyAlignment="1">
      <alignment vertical="center"/>
    </xf>
    <xf numFmtId="0" fontId="3" fillId="0" borderId="0" xfId="35" applyFont="1" applyAlignment="1">
      <alignment vertical="center"/>
    </xf>
    <xf numFmtId="0" fontId="3" fillId="0" borderId="0" xfId="35" applyFont="1" applyBorder="1" applyAlignment="1">
      <alignment vertical="center"/>
    </xf>
    <xf numFmtId="0" fontId="2" fillId="3" borderId="7" xfId="35" applyFont="1" applyFill="1" applyBorder="1" applyAlignment="1">
      <alignment horizontal="center" vertical="center" wrapText="1"/>
    </xf>
    <xf numFmtId="0" fontId="2" fillId="0" borderId="10" xfId="35" applyFont="1" applyFill="1" applyBorder="1" applyAlignment="1">
      <alignment horizontal="center" vertical="center" wrapText="1"/>
    </xf>
    <xf numFmtId="0" fontId="2" fillId="2" borderId="1" xfId="35" applyFont="1" applyFill="1" applyBorder="1" applyAlignment="1">
      <alignment horizontal="center" vertical="center" wrapText="1"/>
    </xf>
    <xf numFmtId="0" fontId="2" fillId="0" borderId="1" xfId="35" applyFont="1" applyFill="1" applyBorder="1" applyAlignment="1">
      <alignment horizontal="center" vertical="center" wrapText="1"/>
    </xf>
    <xf numFmtId="2" fontId="3" fillId="0" borderId="0" xfId="35" applyNumberFormat="1" applyFont="1" applyAlignment="1">
      <alignment vertical="center"/>
    </xf>
    <xf numFmtId="172" fontId="75" fillId="10" borderId="1" xfId="35" applyNumberFormat="1" applyFont="1" applyFill="1" applyBorder="1" applyAlignment="1">
      <alignment vertical="center"/>
    </xf>
    <xf numFmtId="0" fontId="3" fillId="0" borderId="0" xfId="35" applyFont="1" applyFill="1" applyAlignment="1">
      <alignment vertical="center"/>
    </xf>
    <xf numFmtId="165" fontId="3" fillId="0" borderId="0" xfId="35" applyNumberFormat="1" applyFont="1" applyAlignment="1">
      <alignment vertical="center"/>
    </xf>
    <xf numFmtId="165" fontId="73" fillId="10" borderId="0" xfId="35" applyNumberFormat="1" applyFont="1" applyFill="1" applyAlignment="1">
      <alignment vertical="center"/>
    </xf>
    <xf numFmtId="165" fontId="73" fillId="10" borderId="0" xfId="35" applyNumberFormat="1" applyFont="1" applyFill="1" applyBorder="1" applyAlignment="1">
      <alignment vertical="center"/>
    </xf>
    <xf numFmtId="165" fontId="76" fillId="10" borderId="0" xfId="35" applyNumberFormat="1" applyFont="1" applyFill="1" applyAlignment="1">
      <alignment vertical="center"/>
    </xf>
    <xf numFmtId="165" fontId="76" fillId="0" borderId="0" xfId="35" applyNumberFormat="1" applyFont="1" applyAlignment="1">
      <alignment vertical="center"/>
    </xf>
    <xf numFmtId="0" fontId="3" fillId="0" borderId="0" xfId="35" applyAlignment="1">
      <alignment horizontal="left" vertical="justify" wrapText="1"/>
    </xf>
    <xf numFmtId="165" fontId="3" fillId="0" borderId="0" xfId="35" applyNumberFormat="1" applyAlignment="1">
      <alignment horizontal="left" vertical="justify" wrapText="1"/>
    </xf>
    <xf numFmtId="165" fontId="24" fillId="0" borderId="0" xfId="35" applyNumberFormat="1" applyFont="1" applyAlignment="1">
      <alignment vertical="center"/>
    </xf>
    <xf numFmtId="2" fontId="24" fillId="0" borderId="0" xfId="35" applyNumberFormat="1" applyFont="1" applyAlignment="1">
      <alignment vertical="center"/>
    </xf>
    <xf numFmtId="0" fontId="2" fillId="0" borderId="0" xfId="35" applyFont="1" applyAlignment="1"/>
    <xf numFmtId="0" fontId="3" fillId="0" borderId="0" xfId="35" applyFont="1" applyAlignment="1"/>
    <xf numFmtId="0" fontId="2" fillId="0" borderId="0" xfId="35" applyFont="1" applyAlignment="1">
      <alignment horizontal="center"/>
    </xf>
    <xf numFmtId="0" fontId="2" fillId="0" borderId="10" xfId="35" applyFont="1" applyFill="1" applyBorder="1" applyAlignment="1">
      <alignment horizontal="center"/>
    </xf>
    <xf numFmtId="0" fontId="2" fillId="0" borderId="1" xfId="35" applyFont="1" applyFill="1" applyBorder="1" applyAlignment="1">
      <alignment vertical="top"/>
    </xf>
    <xf numFmtId="0" fontId="2" fillId="0" borderId="1" xfId="35" applyFont="1" applyFill="1" applyBorder="1" applyAlignment="1">
      <alignment horizontal="center" wrapText="1"/>
    </xf>
    <xf numFmtId="0" fontId="2" fillId="0" borderId="29" xfId="35" applyFont="1" applyFill="1" applyBorder="1" applyAlignment="1">
      <alignment vertical="top"/>
    </xf>
    <xf numFmtId="0" fontId="2" fillId="0" borderId="1" xfId="35" applyFont="1" applyFill="1" applyBorder="1" applyAlignment="1">
      <alignment horizontal="center"/>
    </xf>
    <xf numFmtId="0" fontId="2" fillId="0" borderId="12" xfId="35" applyFont="1" applyFill="1" applyBorder="1" applyAlignment="1">
      <alignment horizontal="center" vertical="top"/>
    </xf>
    <xf numFmtId="0" fontId="2" fillId="0" borderId="29" xfId="35" applyFont="1" applyFill="1" applyBorder="1" applyAlignment="1">
      <alignment horizontal="center" vertical="top"/>
    </xf>
    <xf numFmtId="0" fontId="2" fillId="0" borderId="10" xfId="35" applyFont="1" applyFill="1" applyBorder="1" applyAlignment="1">
      <alignment vertical="top"/>
    </xf>
    <xf numFmtId="0" fontId="2" fillId="0" borderId="12" xfId="35" applyFont="1" applyFill="1" applyBorder="1" applyAlignment="1">
      <alignment vertical="top"/>
    </xf>
    <xf numFmtId="0" fontId="2" fillId="0" borderId="1" xfId="35" applyFont="1" applyFill="1" applyBorder="1" applyAlignment="1">
      <alignment wrapText="1"/>
    </xf>
    <xf numFmtId="0" fontId="2" fillId="0" borderId="1" xfId="35" applyFont="1" applyFill="1" applyBorder="1" applyAlignment="1">
      <alignment horizontal="center" vertical="top"/>
    </xf>
    <xf numFmtId="0" fontId="2" fillId="0" borderId="1" xfId="35" applyFont="1" applyFill="1" applyBorder="1" applyAlignment="1">
      <alignment horizontal="left"/>
    </xf>
    <xf numFmtId="165" fontId="2" fillId="0" borderId="1" xfId="35" applyNumberFormat="1" applyFont="1" applyFill="1" applyBorder="1" applyAlignment="1">
      <alignment horizontal="center"/>
    </xf>
    <xf numFmtId="0" fontId="73" fillId="0" borderId="0" xfId="35" applyFont="1" applyAlignment="1"/>
    <xf numFmtId="0" fontId="73" fillId="0" borderId="0" xfId="35" applyFont="1" applyFill="1" applyAlignment="1"/>
    <xf numFmtId="165" fontId="73" fillId="0" borderId="0" xfId="35" applyNumberFormat="1" applyFont="1" applyAlignment="1"/>
    <xf numFmtId="0" fontId="73" fillId="0" borderId="0" xfId="35" applyFont="1" applyFill="1" applyBorder="1" applyAlignment="1"/>
    <xf numFmtId="0" fontId="24" fillId="0" borderId="0" xfId="35" applyFont="1" applyAlignment="1"/>
    <xf numFmtId="2" fontId="71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/>
    <xf numFmtId="0" fontId="6" fillId="2" borderId="26" xfId="0" applyFont="1" applyFill="1" applyBorder="1" applyAlignment="1">
      <alignment horizontal="center" vertical="top"/>
    </xf>
    <xf numFmtId="165" fontId="5" fillId="0" borderId="56" xfId="2" applyFont="1" applyFill="1" applyBorder="1"/>
    <xf numFmtId="0" fontId="5" fillId="0" borderId="28" xfId="40" applyFont="1" applyFill="1" applyBorder="1"/>
    <xf numFmtId="165" fontId="5" fillId="0" borderId="28" xfId="2" applyFont="1" applyFill="1" applyBorder="1"/>
    <xf numFmtId="165" fontId="6" fillId="0" borderId="1" xfId="2" applyFont="1" applyFill="1" applyBorder="1"/>
    <xf numFmtId="2" fontId="14" fillId="0" borderId="0" xfId="0" applyNumberFormat="1" applyFont="1" applyAlignment="1">
      <alignment vertical="top"/>
    </xf>
    <xf numFmtId="2" fontId="3" fillId="0" borderId="3" xfId="0" applyNumberFormat="1" applyFont="1" applyBorder="1" applyAlignment="1">
      <alignment vertical="top"/>
    </xf>
    <xf numFmtId="2" fontId="14" fillId="0" borderId="63" xfId="0" applyNumberFormat="1" applyFont="1" applyBorder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0" fontId="14" fillId="0" borderId="3" xfId="0" applyFont="1" applyFill="1" applyBorder="1" applyAlignment="1">
      <alignment vertical="top"/>
    </xf>
    <xf numFmtId="2" fontId="14" fillId="0" borderId="63" xfId="0" applyNumberFormat="1" applyFont="1" applyFill="1" applyBorder="1" applyAlignment="1">
      <alignment vertical="top"/>
    </xf>
    <xf numFmtId="0" fontId="78" fillId="0" borderId="0" xfId="0" applyFont="1" applyAlignment="1"/>
    <xf numFmtId="2" fontId="14" fillId="0" borderId="14" xfId="0" applyNumberFormat="1" applyFont="1" applyBorder="1" applyAlignment="1">
      <alignment vertical="top"/>
    </xf>
    <xf numFmtId="43" fontId="14" fillId="0" borderId="0" xfId="0" applyNumberFormat="1" applyFont="1" applyAlignment="1"/>
    <xf numFmtId="165" fontId="5" fillId="0" borderId="65" xfId="0" applyNumberFormat="1" applyFont="1" applyBorder="1" applyAlignment="1"/>
    <xf numFmtId="165" fontId="5" fillId="0" borderId="5" xfId="40" applyNumberFormat="1" applyFont="1" applyFill="1" applyBorder="1"/>
    <xf numFmtId="0" fontId="6" fillId="11" borderId="66" xfId="0" applyFont="1" applyFill="1" applyBorder="1" applyAlignment="1">
      <alignment horizontal="right" vertical="top"/>
    </xf>
    <xf numFmtId="0" fontId="6" fillId="11" borderId="40" xfId="0" applyFont="1" applyFill="1" applyBorder="1" applyAlignment="1">
      <alignment horizontal="left" vertical="top" indent="1"/>
    </xf>
    <xf numFmtId="165" fontId="6" fillId="11" borderId="52" xfId="2" applyFont="1" applyFill="1" applyBorder="1"/>
    <xf numFmtId="165" fontId="6" fillId="11" borderId="14" xfId="2" applyFont="1" applyFill="1" applyBorder="1"/>
    <xf numFmtId="10" fontId="6" fillId="11" borderId="50" xfId="41" applyNumberFormat="1" applyFont="1" applyFill="1" applyBorder="1"/>
    <xf numFmtId="165" fontId="6" fillId="11" borderId="1" xfId="40" applyNumberFormat="1" applyFont="1" applyFill="1" applyBorder="1"/>
    <xf numFmtId="0" fontId="6" fillId="11" borderId="0" xfId="40" applyFont="1" applyFill="1"/>
    <xf numFmtId="0" fontId="14" fillId="0" borderId="67" xfId="0" applyFont="1" applyBorder="1" applyAlignment="1">
      <alignment wrapText="1"/>
    </xf>
    <xf numFmtId="0" fontId="14" fillId="0" borderId="50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14" fillId="0" borderId="50" xfId="0" applyFont="1" applyBorder="1" applyAlignment="1"/>
    <xf numFmtId="0" fontId="14" fillId="0" borderId="68" xfId="0" applyFont="1" applyBorder="1" applyAlignment="1"/>
    <xf numFmtId="0" fontId="14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/>
    <xf numFmtId="2" fontId="14" fillId="0" borderId="1" xfId="0" applyNumberFormat="1" applyFont="1" applyBorder="1" applyAlignment="1"/>
    <xf numFmtId="165" fontId="14" fillId="12" borderId="1" xfId="0" applyNumberFormat="1" applyFont="1" applyFill="1" applyBorder="1" applyAlignment="1"/>
    <xf numFmtId="0" fontId="79" fillId="0" borderId="0" xfId="0" applyFont="1" applyAlignment="1"/>
    <xf numFmtId="165" fontId="75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14" fillId="0" borderId="1" xfId="41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14" fillId="0" borderId="1" xfId="0" applyNumberFormat="1" applyFont="1" applyBorder="1" applyAlignment="1">
      <alignment horizontal="right"/>
    </xf>
    <xf numFmtId="165" fontId="73" fillId="0" borderId="1" xfId="0" applyNumberFormat="1" applyFont="1" applyBorder="1" applyAlignment="1">
      <alignment horizontal="right"/>
    </xf>
    <xf numFmtId="165" fontId="75" fillId="0" borderId="0" xfId="0" applyNumberFormat="1" applyFont="1" applyAlignment="1">
      <alignment horizontal="right"/>
    </xf>
    <xf numFmtId="165" fontId="75" fillId="13" borderId="0" xfId="0" applyNumberFormat="1" applyFont="1" applyFill="1" applyAlignment="1">
      <alignment horizontal="right"/>
    </xf>
    <xf numFmtId="167" fontId="75" fillId="0" borderId="0" xfId="0" applyNumberFormat="1" applyFont="1" applyAlignment="1">
      <alignment vertical="center"/>
    </xf>
    <xf numFmtId="165" fontId="2" fillId="0" borderId="1" xfId="2" applyFont="1" applyFill="1" applyBorder="1" applyAlignment="1">
      <alignment vertical="center" wrapText="1"/>
    </xf>
    <xf numFmtId="165" fontId="3" fillId="0" borderId="1" xfId="2" applyFont="1" applyFill="1" applyBorder="1" applyAlignment="1">
      <alignment vertical="center" wrapText="1"/>
    </xf>
    <xf numFmtId="165" fontId="14" fillId="14" borderId="0" xfId="0" applyNumberFormat="1" applyFont="1" applyFill="1" applyAlignment="1"/>
    <xf numFmtId="0" fontId="24" fillId="14" borderId="0" xfId="0" applyFont="1" applyFill="1" applyAlignment="1"/>
    <xf numFmtId="165" fontId="2" fillId="0" borderId="1" xfId="0" applyNumberFormat="1" applyFont="1" applyFill="1" applyBorder="1" applyAlignment="1">
      <alignment horizontal="right"/>
    </xf>
    <xf numFmtId="43" fontId="3" fillId="0" borderId="0" xfId="35" applyNumberFormat="1" applyFont="1" applyAlignment="1">
      <alignment vertical="center"/>
    </xf>
    <xf numFmtId="43" fontId="76" fillId="0" borderId="0" xfId="35" applyNumberFormat="1" applyFont="1" applyAlignment="1">
      <alignment vertical="center"/>
    </xf>
    <xf numFmtId="0" fontId="2" fillId="0" borderId="0" xfId="38" applyFont="1" applyAlignment="1">
      <alignment vertical="center"/>
    </xf>
    <xf numFmtId="0" fontId="3" fillId="0" borderId="0" xfId="38" applyFont="1" applyBorder="1" applyAlignment="1">
      <alignment vertical="center"/>
    </xf>
    <xf numFmtId="0" fontId="3" fillId="0" borderId="0" xfId="38" applyFont="1" applyAlignment="1">
      <alignment vertical="center"/>
    </xf>
    <xf numFmtId="0" fontId="2" fillId="3" borderId="0" xfId="38" applyFont="1" applyFill="1" applyBorder="1" applyAlignment="1">
      <alignment vertical="top"/>
    </xf>
    <xf numFmtId="0" fontId="2" fillId="4" borderId="0" xfId="38" applyFont="1" applyFill="1" applyBorder="1" applyAlignment="1">
      <alignment vertical="center"/>
    </xf>
    <xf numFmtId="0" fontId="3" fillId="4" borderId="0" xfId="38" applyFont="1" applyFill="1" applyBorder="1" applyAlignment="1">
      <alignment vertical="center"/>
    </xf>
    <xf numFmtId="0" fontId="3" fillId="0" borderId="0" xfId="38" applyFont="1" applyAlignment="1"/>
    <xf numFmtId="0" fontId="2" fillId="0" borderId="0" xfId="38" applyFont="1" applyAlignment="1"/>
    <xf numFmtId="0" fontId="2" fillId="7" borderId="2" xfId="38" applyFont="1" applyFill="1" applyBorder="1" applyAlignment="1">
      <alignment horizontal="center" vertical="center" wrapText="1"/>
    </xf>
    <xf numFmtId="0" fontId="2" fillId="7" borderId="1" xfId="38" applyFont="1" applyFill="1" applyBorder="1" applyAlignment="1">
      <alignment horizontal="center" vertical="center" wrapText="1"/>
    </xf>
    <xf numFmtId="0" fontId="2" fillId="7" borderId="6" xfId="38" applyFont="1" applyFill="1" applyBorder="1" applyAlignment="1">
      <alignment horizontal="center" vertical="center" wrapText="1"/>
    </xf>
    <xf numFmtId="0" fontId="3" fillId="0" borderId="38" xfId="38" applyFont="1" applyBorder="1" applyAlignment="1">
      <alignment horizontal="center" vertical="center" wrapText="1"/>
    </xf>
    <xf numFmtId="0" fontId="2" fillId="0" borderId="60" xfId="38" applyFont="1" applyBorder="1" applyAlignment="1">
      <alignment vertical="center" wrapText="1"/>
    </xf>
    <xf numFmtId="0" fontId="3" fillId="0" borderId="2" xfId="38" applyFont="1" applyBorder="1" applyAlignment="1">
      <alignment vertical="center"/>
    </xf>
    <xf numFmtId="0" fontId="3" fillId="0" borderId="1" xfId="38" applyFont="1" applyBorder="1" applyAlignment="1">
      <alignment vertical="center"/>
    </xf>
    <xf numFmtId="0" fontId="3" fillId="0" borderId="6" xfId="38" applyFont="1" applyBorder="1" applyAlignment="1">
      <alignment vertical="center"/>
    </xf>
    <xf numFmtId="0" fontId="75" fillId="0" borderId="1" xfId="38" applyFont="1" applyBorder="1" applyAlignment="1">
      <alignment vertical="center"/>
    </xf>
    <xf numFmtId="0" fontId="3" fillId="0" borderId="45" xfId="38" applyFont="1" applyBorder="1" applyAlignment="1">
      <alignment vertical="center"/>
    </xf>
    <xf numFmtId="0" fontId="2" fillId="0" borderId="8" xfId="38" applyFont="1" applyBorder="1" applyAlignment="1">
      <alignment horizontal="left" vertical="center" wrapText="1"/>
    </xf>
    <xf numFmtId="0" fontId="2" fillId="0" borderId="48" xfId="38" applyFont="1" applyBorder="1" applyAlignment="1">
      <alignment horizontal="left" vertical="center" wrapText="1"/>
    </xf>
    <xf numFmtId="2" fontId="4" fillId="0" borderId="1" xfId="38" applyNumberFormat="1" applyFont="1" applyBorder="1" applyAlignment="1">
      <alignment vertical="center"/>
    </xf>
    <xf numFmtId="2" fontId="4" fillId="0" borderId="6" xfId="38" applyNumberFormat="1" applyFont="1" applyBorder="1" applyAlignment="1">
      <alignment vertical="center"/>
    </xf>
    <xf numFmtId="1" fontId="4" fillId="0" borderId="1" xfId="38" applyNumberFormat="1" applyFont="1" applyBorder="1" applyAlignment="1">
      <alignment vertical="center"/>
    </xf>
    <xf numFmtId="1" fontId="4" fillId="0" borderId="45" xfId="38" applyNumberFormat="1" applyFont="1" applyBorder="1" applyAlignment="1">
      <alignment vertical="center"/>
    </xf>
    <xf numFmtId="0" fontId="21" fillId="0" borderId="1" xfId="38" applyFont="1" applyBorder="1" applyAlignment="1">
      <alignment vertical="center"/>
    </xf>
    <xf numFmtId="2" fontId="21" fillId="0" borderId="1" xfId="38" applyNumberFormat="1" applyFont="1" applyBorder="1" applyAlignment="1">
      <alignment vertical="center"/>
    </xf>
    <xf numFmtId="1" fontId="21" fillId="0" borderId="1" xfId="38" applyNumberFormat="1" applyFont="1" applyBorder="1" applyAlignment="1">
      <alignment vertical="center"/>
    </xf>
    <xf numFmtId="1" fontId="2" fillId="0" borderId="45" xfId="38" applyNumberFormat="1" applyFont="1" applyBorder="1" applyAlignment="1">
      <alignment vertical="center"/>
    </xf>
    <xf numFmtId="0" fontId="2" fillId="0" borderId="1" xfId="38" applyFont="1" applyBorder="1" applyAlignment="1">
      <alignment vertical="center"/>
    </xf>
    <xf numFmtId="2" fontId="2" fillId="0" borderId="1" xfId="38" applyNumberFormat="1" applyFont="1" applyBorder="1" applyAlignment="1">
      <alignment vertical="center"/>
    </xf>
    <xf numFmtId="0" fontId="3" fillId="0" borderId="8" xfId="38" applyFont="1" applyBorder="1" applyAlignment="1">
      <alignment horizontal="left" vertical="center" wrapText="1"/>
    </xf>
    <xf numFmtId="0" fontId="3" fillId="0" borderId="48" xfId="38" applyFont="1" applyBorder="1" applyAlignment="1">
      <alignment horizontal="left" vertical="center" wrapText="1"/>
    </xf>
    <xf numFmtId="0" fontId="19" fillId="0" borderId="5" xfId="38" applyFont="1" applyBorder="1" applyAlignment="1">
      <alignment vertical="top" wrapText="1"/>
    </xf>
    <xf numFmtId="49" fontId="22" fillId="0" borderId="48" xfId="38" applyNumberFormat="1" applyFont="1" applyBorder="1" applyAlignment="1" applyProtection="1">
      <alignment horizontal="left" vertical="top" wrapText="1"/>
    </xf>
    <xf numFmtId="0" fontId="2" fillId="0" borderId="22" xfId="38" applyFont="1" applyBorder="1" applyAlignment="1">
      <alignment horizontal="left" vertical="center" wrapText="1"/>
    </xf>
    <xf numFmtId="0" fontId="3" fillId="0" borderId="22" xfId="38" applyFont="1" applyBorder="1" applyAlignment="1">
      <alignment horizontal="left" vertical="center" wrapText="1"/>
    </xf>
    <xf numFmtId="0" fontId="3" fillId="0" borderId="69" xfId="38" applyFont="1" applyBorder="1" applyAlignment="1">
      <alignment vertical="center"/>
    </xf>
    <xf numFmtId="0" fontId="4" fillId="0" borderId="3" xfId="38" applyFont="1" applyBorder="1" applyAlignment="1">
      <alignment vertical="center"/>
    </xf>
    <xf numFmtId="0" fontId="4" fillId="0" borderId="10" xfId="38" applyFont="1" applyBorder="1" applyAlignment="1">
      <alignment vertical="center"/>
    </xf>
    <xf numFmtId="0" fontId="4" fillId="0" borderId="16" xfId="38" applyFont="1" applyBorder="1" applyAlignment="1">
      <alignment vertical="center"/>
    </xf>
    <xf numFmtId="1" fontId="4" fillId="0" borderId="10" xfId="38" applyNumberFormat="1" applyFont="1" applyBorder="1" applyAlignment="1">
      <alignment vertical="center"/>
    </xf>
    <xf numFmtId="2" fontId="4" fillId="0" borderId="10" xfId="38" applyNumberFormat="1" applyFont="1" applyBorder="1" applyAlignment="1">
      <alignment vertical="center"/>
    </xf>
    <xf numFmtId="0" fontId="3" fillId="0" borderId="10" xfId="38" applyFont="1" applyBorder="1" applyAlignment="1">
      <alignment vertical="center"/>
    </xf>
    <xf numFmtId="0" fontId="3" fillId="0" borderId="16" xfId="38" applyFont="1" applyBorder="1" applyAlignment="1">
      <alignment vertical="center"/>
    </xf>
    <xf numFmtId="0" fontId="3" fillId="0" borderId="7" xfId="38" applyFont="1" applyBorder="1" applyAlignment="1">
      <alignment horizontal="left" vertical="center" wrapText="1"/>
    </xf>
    <xf numFmtId="0" fontId="2" fillId="0" borderId="27" xfId="38" applyFont="1" applyBorder="1" applyAlignment="1">
      <alignment vertical="center" wrapText="1"/>
    </xf>
    <xf numFmtId="1" fontId="21" fillId="0" borderId="23" xfId="38" applyNumberFormat="1" applyFont="1" applyBorder="1" applyAlignment="1">
      <alignment vertical="center"/>
    </xf>
    <xf numFmtId="1" fontId="21" fillId="0" borderId="63" xfId="38" applyNumberFormat="1" applyFont="1" applyBorder="1" applyAlignment="1">
      <alignment vertical="center"/>
    </xf>
    <xf numFmtId="2" fontId="21" fillId="0" borderId="63" xfId="38" applyNumberFormat="1" applyFont="1" applyBorder="1" applyAlignment="1">
      <alignment vertical="center"/>
    </xf>
    <xf numFmtId="169" fontId="21" fillId="0" borderId="63" xfId="38" applyNumberFormat="1" applyFont="1" applyBorder="1" applyAlignment="1">
      <alignment vertical="center"/>
    </xf>
    <xf numFmtId="169" fontId="21" fillId="0" borderId="52" xfId="38" applyNumberFormat="1" applyFont="1" applyBorder="1" applyAlignment="1">
      <alignment vertical="center"/>
    </xf>
    <xf numFmtId="2" fontId="21" fillId="0" borderId="14" xfId="38" applyNumberFormat="1" applyFont="1" applyBorder="1" applyAlignment="1">
      <alignment vertical="center"/>
    </xf>
    <xf numFmtId="2" fontId="21" fillId="0" borderId="52" xfId="38" applyNumberFormat="1" applyFont="1" applyBorder="1" applyAlignment="1">
      <alignment vertical="center"/>
    </xf>
    <xf numFmtId="1" fontId="21" fillId="0" borderId="14" xfId="38" applyNumberFormat="1" applyFont="1" applyBorder="1" applyAlignment="1">
      <alignment vertical="center"/>
    </xf>
    <xf numFmtId="0" fontId="2" fillId="0" borderId="11" xfId="38" applyFont="1" applyBorder="1" applyAlignment="1">
      <alignment horizontal="left" vertical="center" wrapText="1"/>
    </xf>
    <xf numFmtId="0" fontId="2" fillId="0" borderId="70" xfId="38" applyFont="1" applyBorder="1" applyAlignment="1">
      <alignment horizontal="left" vertical="center" wrapText="1"/>
    </xf>
    <xf numFmtId="2" fontId="4" fillId="0" borderId="12" xfId="38" applyNumberFormat="1" applyFont="1" applyBorder="1" applyAlignment="1">
      <alignment vertical="center"/>
    </xf>
    <xf numFmtId="2" fontId="4" fillId="0" borderId="15" xfId="38" applyNumberFormat="1" applyFont="1" applyBorder="1" applyAlignment="1">
      <alignment vertical="center"/>
    </xf>
    <xf numFmtId="1" fontId="4" fillId="0" borderId="12" xfId="38" applyNumberFormat="1" applyFont="1" applyBorder="1" applyAlignment="1">
      <alignment vertical="center"/>
    </xf>
    <xf numFmtId="0" fontId="3" fillId="0" borderId="11" xfId="38" applyFont="1" applyBorder="1" applyAlignment="1">
      <alignment horizontal="left" vertical="center" wrapText="1"/>
    </xf>
    <xf numFmtId="0" fontId="4" fillId="0" borderId="1" xfId="38" applyFont="1" applyBorder="1" applyAlignment="1">
      <alignment vertical="center"/>
    </xf>
    <xf numFmtId="0" fontId="3" fillId="15" borderId="8" xfId="38" applyFont="1" applyFill="1" applyBorder="1" applyAlignment="1">
      <alignment horizontal="left" vertical="center" wrapText="1"/>
    </xf>
    <xf numFmtId="0" fontId="3" fillId="0" borderId="69" xfId="38" applyFont="1" applyBorder="1" applyAlignment="1">
      <alignment horizontal="left" vertical="center" wrapText="1"/>
    </xf>
    <xf numFmtId="2" fontId="4" fillId="0" borderId="16" xfId="38" applyNumberFormat="1" applyFont="1" applyBorder="1" applyAlignment="1">
      <alignment vertical="center"/>
    </xf>
    <xf numFmtId="1" fontId="21" fillId="0" borderId="24" xfId="38" applyNumberFormat="1" applyFont="1" applyBorder="1" applyAlignment="1">
      <alignment vertical="center"/>
    </xf>
    <xf numFmtId="169" fontId="21" fillId="0" borderId="9" xfId="38" applyNumberFormat="1" applyFont="1" applyBorder="1" applyAlignment="1">
      <alignment vertical="center"/>
    </xf>
    <xf numFmtId="2" fontId="21" fillId="0" borderId="9" xfId="38" applyNumberFormat="1" applyFont="1" applyBorder="1" applyAlignment="1">
      <alignment vertical="center"/>
    </xf>
    <xf numFmtId="2" fontId="21" fillId="0" borderId="53" xfId="38" applyNumberFormat="1" applyFont="1" applyBorder="1" applyAlignment="1">
      <alignment vertical="center"/>
    </xf>
    <xf numFmtId="0" fontId="2" fillId="0" borderId="70" xfId="38" applyFont="1" applyBorder="1" applyAlignment="1">
      <alignment vertical="center" wrapText="1"/>
    </xf>
    <xf numFmtId="0" fontId="3" fillId="0" borderId="12" xfId="38" applyFont="1" applyBorder="1" applyAlignment="1">
      <alignment vertical="center"/>
    </xf>
    <xf numFmtId="0" fontId="3" fillId="0" borderId="15" xfId="38" applyFont="1" applyBorder="1" applyAlignment="1">
      <alignment vertical="center"/>
    </xf>
    <xf numFmtId="0" fontId="4" fillId="0" borderId="12" xfId="38" applyFont="1" applyBorder="1" applyAlignment="1">
      <alignment vertical="center"/>
    </xf>
    <xf numFmtId="0" fontId="4" fillId="0" borderId="61" xfId="38" applyFont="1" applyBorder="1" applyAlignment="1">
      <alignment vertical="center"/>
    </xf>
    <xf numFmtId="0" fontId="3" fillId="0" borderId="61" xfId="38" applyFont="1" applyBorder="1" applyAlignment="1">
      <alignment vertical="center"/>
    </xf>
    <xf numFmtId="0" fontId="3" fillId="0" borderId="69" xfId="38" applyFont="1" applyBorder="1" applyAlignment="1">
      <alignment vertical="center" wrapText="1"/>
    </xf>
    <xf numFmtId="2" fontId="3" fillId="0" borderId="10" xfId="38" applyNumberFormat="1" applyFont="1" applyBorder="1" applyAlignment="1">
      <alignment vertical="center"/>
    </xf>
    <xf numFmtId="169" fontId="4" fillId="0" borderId="10" xfId="38" applyNumberFormat="1" applyFont="1" applyBorder="1" applyAlignment="1">
      <alignment vertical="center"/>
    </xf>
    <xf numFmtId="0" fontId="3" fillId="0" borderId="3" xfId="38" applyFont="1" applyBorder="1" applyAlignment="1">
      <alignment vertical="center"/>
    </xf>
    <xf numFmtId="169" fontId="3" fillId="0" borderId="10" xfId="38" applyNumberFormat="1" applyFont="1" applyBorder="1" applyAlignment="1">
      <alignment vertical="center"/>
    </xf>
    <xf numFmtId="0" fontId="3" fillId="0" borderId="7" xfId="38" applyFont="1" applyBorder="1" applyAlignment="1">
      <alignment horizontal="center" vertical="center" wrapText="1"/>
    </xf>
    <xf numFmtId="0" fontId="3" fillId="0" borderId="11" xfId="38" applyFont="1" applyBorder="1" applyAlignment="1">
      <alignment horizontal="center" vertical="center" wrapText="1"/>
    </xf>
    <xf numFmtId="0" fontId="3" fillId="0" borderId="70" xfId="38" applyFont="1" applyBorder="1" applyAlignment="1">
      <alignment horizontal="left" vertical="center" wrapText="1"/>
    </xf>
    <xf numFmtId="1" fontId="4" fillId="0" borderId="61" xfId="38" applyNumberFormat="1" applyFont="1" applyBorder="1" applyAlignment="1">
      <alignment vertical="center"/>
    </xf>
    <xf numFmtId="169" fontId="80" fillId="0" borderId="12" xfId="38" applyNumberFormat="1" applyFont="1" applyBorder="1" applyAlignment="1">
      <alignment vertical="center"/>
    </xf>
    <xf numFmtId="169" fontId="4" fillId="0" borderId="12" xfId="38" applyNumberFormat="1" applyFont="1" applyBorder="1" applyAlignment="1">
      <alignment vertical="center"/>
    </xf>
    <xf numFmtId="0" fontId="4" fillId="0" borderId="15" xfId="38" applyFont="1" applyBorder="1" applyAlignment="1">
      <alignment vertical="center"/>
    </xf>
    <xf numFmtId="169" fontId="3" fillId="0" borderId="12" xfId="38" applyNumberFormat="1" applyFont="1" applyBorder="1" applyAlignment="1">
      <alignment vertical="center"/>
    </xf>
    <xf numFmtId="0" fontId="3" fillId="0" borderId="8" xfId="38" applyFont="1" applyBorder="1" applyAlignment="1">
      <alignment horizontal="center" vertical="center" wrapText="1"/>
    </xf>
    <xf numFmtId="0" fontId="3" fillId="0" borderId="48" xfId="38" applyFont="1" applyBorder="1" applyAlignment="1">
      <alignment vertical="center" wrapText="1"/>
    </xf>
    <xf numFmtId="0" fontId="4" fillId="0" borderId="2" xfId="38" applyFont="1" applyBorder="1" applyAlignment="1">
      <alignment vertical="center"/>
    </xf>
    <xf numFmtId="0" fontId="80" fillId="0" borderId="1" xfId="38" applyFont="1" applyBorder="1" applyAlignment="1">
      <alignment vertical="center"/>
    </xf>
    <xf numFmtId="0" fontId="4" fillId="0" borderId="6" xfId="38" applyFont="1" applyBorder="1" applyAlignment="1">
      <alignment vertical="center"/>
    </xf>
    <xf numFmtId="0" fontId="2" fillId="0" borderId="48" xfId="38" applyFont="1" applyBorder="1" applyAlignment="1">
      <alignment vertical="center" wrapText="1"/>
    </xf>
    <xf numFmtId="0" fontId="3" fillId="0" borderId="8" xfId="38" applyFont="1" applyBorder="1" applyAlignment="1">
      <alignment vertical="center"/>
    </xf>
    <xf numFmtId="0" fontId="3" fillId="0" borderId="48" xfId="38" applyFont="1" applyFill="1" applyBorder="1" applyAlignment="1">
      <alignment vertical="center" wrapText="1"/>
    </xf>
    <xf numFmtId="0" fontId="3" fillId="0" borderId="48" xfId="38" applyFont="1" applyBorder="1" applyAlignment="1">
      <alignment vertical="center"/>
    </xf>
    <xf numFmtId="0" fontId="15" fillId="0" borderId="2" xfId="38" applyFont="1" applyBorder="1" applyAlignment="1">
      <alignment vertical="center"/>
    </xf>
    <xf numFmtId="0" fontId="15" fillId="0" borderId="6" xfId="38" applyFont="1" applyBorder="1" applyAlignment="1">
      <alignment vertical="center"/>
    </xf>
    <xf numFmtId="0" fontId="46" fillId="0" borderId="2" xfId="38" applyFont="1" applyBorder="1" applyAlignment="1">
      <alignment vertical="center"/>
    </xf>
    <xf numFmtId="0" fontId="46" fillId="0" borderId="6" xfId="38" applyFont="1" applyBorder="1" applyAlignment="1">
      <alignment vertical="center"/>
    </xf>
    <xf numFmtId="0" fontId="15" fillId="0" borderId="0" xfId="38" applyFont="1" applyAlignment="1">
      <alignment vertical="center"/>
    </xf>
    <xf numFmtId="0" fontId="2" fillId="0" borderId="48" xfId="38" applyFont="1" applyBorder="1" applyAlignment="1">
      <alignment vertical="center"/>
    </xf>
    <xf numFmtId="0" fontId="3" fillId="0" borderId="8" xfId="38" applyFont="1" applyBorder="1" applyAlignment="1">
      <alignment horizontal="center" vertical="center"/>
    </xf>
    <xf numFmtId="170" fontId="21" fillId="0" borderId="1" xfId="11" applyNumberFormat="1" applyFont="1" applyBorder="1" applyAlignment="1">
      <alignment horizontal="right" vertical="center" wrapText="1"/>
    </xf>
    <xf numFmtId="170" fontId="2" fillId="0" borderId="1" xfId="11" applyNumberFormat="1" applyFont="1" applyBorder="1" applyAlignment="1">
      <alignment horizontal="right" vertical="center" wrapText="1"/>
    </xf>
    <xf numFmtId="0" fontId="3" fillId="0" borderId="22" xfId="38" applyFont="1" applyBorder="1" applyAlignment="1">
      <alignment vertical="center"/>
    </xf>
    <xf numFmtId="0" fontId="80" fillId="0" borderId="10" xfId="38" applyFont="1" applyBorder="1" applyAlignment="1">
      <alignment vertical="center"/>
    </xf>
    <xf numFmtId="0" fontId="3" fillId="0" borderId="7" xfId="38" applyFont="1" applyBorder="1" applyAlignment="1">
      <alignment vertical="center"/>
    </xf>
    <xf numFmtId="0" fontId="2" fillId="0" borderId="27" xfId="38" applyFont="1" applyBorder="1" applyAlignment="1">
      <alignment vertical="center"/>
    </xf>
    <xf numFmtId="0" fontId="3" fillId="0" borderId="23" xfId="38" applyFont="1" applyBorder="1" applyAlignment="1">
      <alignment vertical="center"/>
    </xf>
    <xf numFmtId="0" fontId="3" fillId="0" borderId="63" xfId="38" applyFont="1" applyBorder="1" applyAlignment="1">
      <alignment vertical="center"/>
    </xf>
    <xf numFmtId="2" fontId="2" fillId="0" borderId="63" xfId="38" applyNumberFormat="1" applyFont="1" applyBorder="1" applyAlignment="1">
      <alignment vertical="center"/>
    </xf>
    <xf numFmtId="0" fontId="3" fillId="0" borderId="52" xfId="38" applyFont="1" applyBorder="1" applyAlignment="1">
      <alignment vertical="center"/>
    </xf>
    <xf numFmtId="0" fontId="4" fillId="0" borderId="23" xfId="38" applyFont="1" applyBorder="1" applyAlignment="1">
      <alignment vertical="center"/>
    </xf>
    <xf numFmtId="0" fontId="80" fillId="0" borderId="63" xfId="38" applyFont="1" applyBorder="1" applyAlignment="1">
      <alignment vertical="center"/>
    </xf>
    <xf numFmtId="0" fontId="4" fillId="0" borderId="52" xfId="38" applyFont="1" applyBorder="1" applyAlignment="1">
      <alignment vertical="center"/>
    </xf>
    <xf numFmtId="0" fontId="3" fillId="0" borderId="40" xfId="38" applyFont="1" applyBorder="1" applyAlignment="1">
      <alignment horizontal="center" vertical="center"/>
    </xf>
    <xf numFmtId="0" fontId="2" fillId="0" borderId="47" xfId="38" applyFont="1" applyBorder="1" applyAlignment="1">
      <alignment horizontal="center" vertical="center"/>
    </xf>
    <xf numFmtId="165" fontId="2" fillId="0" borderId="9" xfId="11" applyNumberFormat="1" applyFont="1" applyBorder="1" applyAlignment="1">
      <alignment vertical="center"/>
    </xf>
    <xf numFmtId="165" fontId="21" fillId="0" borderId="9" xfId="11" applyNumberFormat="1" applyFont="1" applyBorder="1" applyAlignment="1">
      <alignment vertical="center"/>
    </xf>
    <xf numFmtId="165" fontId="3" fillId="0" borderId="0" xfId="38" applyNumberFormat="1" applyFont="1" applyAlignment="1">
      <alignment vertical="center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3" fillId="10" borderId="0" xfId="0" applyFont="1" applyFill="1" applyAlignment="1"/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0" borderId="5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7" fontId="3" fillId="0" borderId="0" xfId="35" applyNumberFormat="1" applyFont="1" applyAlignment="1">
      <alignment vertical="center"/>
    </xf>
    <xf numFmtId="165" fontId="76" fillId="0" borderId="0" xfId="35" applyNumberFormat="1" applyFont="1" applyAlignment="1"/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3" borderId="7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2" fillId="0" borderId="1" xfId="0" applyFont="1" applyBorder="1" applyAlignment="1">
      <alignment vertical="center" wrapText="1"/>
    </xf>
    <xf numFmtId="0" fontId="69" fillId="9" borderId="78" xfId="1" applyAlignment="1"/>
    <xf numFmtId="0" fontId="0" fillId="0" borderId="0" xfId="0">
      <alignment vertical="top"/>
    </xf>
    <xf numFmtId="0" fontId="3" fillId="0" borderId="3" xfId="0" applyFont="1" applyBorder="1" applyAlignment="1">
      <alignment horizontal="right" vertical="top" wrapText="1"/>
    </xf>
    <xf numFmtId="0" fontId="49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165" fontId="5" fillId="0" borderId="0" xfId="40" applyNumberFormat="1" applyFont="1" applyFill="1" applyBorder="1"/>
    <xf numFmtId="165" fontId="6" fillId="0" borderId="0" xfId="40" applyNumberFormat="1" applyFont="1" applyFill="1" applyBorder="1"/>
    <xf numFmtId="165" fontId="6" fillId="11" borderId="51" xfId="2" applyFont="1" applyFill="1" applyBorder="1"/>
    <xf numFmtId="2" fontId="5" fillId="0" borderId="5" xfId="40" applyNumberFormat="1" applyFont="1" applyFill="1" applyBorder="1"/>
    <xf numFmtId="0" fontId="0" fillId="0" borderId="1" xfId="0" applyBorder="1">
      <alignment vertical="top"/>
    </xf>
    <xf numFmtId="165" fontId="3" fillId="0" borderId="1" xfId="2" applyFont="1" applyBorder="1"/>
    <xf numFmtId="0" fontId="21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1" fillId="3" borderId="7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Fill="1" applyBorder="1" applyAlignment="1">
      <alignment vertical="top" wrapText="1"/>
    </xf>
    <xf numFmtId="165" fontId="3" fillId="0" borderId="1" xfId="2" applyFont="1" applyBorder="1" applyAlignment="1"/>
    <xf numFmtId="165" fontId="2" fillId="0" borderId="1" xfId="2" applyFont="1" applyBorder="1" applyAlignment="1"/>
    <xf numFmtId="174" fontId="0" fillId="0" borderId="0" xfId="0" applyNumberFormat="1">
      <alignment vertical="top"/>
    </xf>
    <xf numFmtId="2" fontId="0" fillId="0" borderId="1" xfId="0" applyNumberFormat="1" applyBorder="1">
      <alignment vertical="top"/>
    </xf>
    <xf numFmtId="0" fontId="67" fillId="0" borderId="0" xfId="37"/>
    <xf numFmtId="0" fontId="39" fillId="0" borderId="10" xfId="37" applyFont="1" applyBorder="1" applyAlignment="1">
      <alignment horizontal="right" vertical="center" wrapText="1"/>
    </xf>
    <xf numFmtId="0" fontId="39" fillId="0" borderId="12" xfId="37" applyFont="1" applyBorder="1" applyAlignment="1">
      <alignment horizontal="center" vertical="center" wrapText="1"/>
    </xf>
    <xf numFmtId="2" fontId="39" fillId="0" borderId="1" xfId="37" applyNumberFormat="1" applyFont="1" applyBorder="1" applyAlignment="1">
      <alignment horizontal="center" vertical="center" wrapText="1"/>
    </xf>
    <xf numFmtId="0" fontId="47" fillId="0" borderId="1" xfId="37" applyFont="1" applyBorder="1" applyAlignment="1">
      <alignment horizontal="center" vertical="center" wrapText="1"/>
    </xf>
    <xf numFmtId="0" fontId="2" fillId="0" borderId="1" xfId="37" applyFont="1" applyBorder="1" applyAlignment="1">
      <alignment horizontal="center" vertical="center" wrapText="1"/>
    </xf>
    <xf numFmtId="0" fontId="2" fillId="0" borderId="1" xfId="37" applyFont="1" applyBorder="1" applyAlignment="1">
      <alignment horizontal="center" vertical="center"/>
    </xf>
    <xf numFmtId="0" fontId="71" fillId="0" borderId="5" xfId="37" applyFont="1" applyBorder="1" applyAlignment="1">
      <alignment horizontal="center" vertical="center" wrapText="1"/>
    </xf>
    <xf numFmtId="0" fontId="39" fillId="0" borderId="13" xfId="37" applyFont="1" applyBorder="1" applyAlignment="1">
      <alignment horizontal="right" vertical="center" wrapText="1"/>
    </xf>
    <xf numFmtId="2" fontId="39" fillId="0" borderId="13" xfId="37" applyNumberFormat="1" applyFont="1" applyBorder="1" applyAlignment="1">
      <alignment horizontal="right" vertical="center" wrapText="1"/>
    </xf>
    <xf numFmtId="2" fontId="39" fillId="0" borderId="12" xfId="37" applyNumberFormat="1" applyFont="1" applyBorder="1" applyAlignment="1">
      <alignment horizontal="center" vertical="center" wrapText="1"/>
    </xf>
    <xf numFmtId="0" fontId="71" fillId="0" borderId="1" xfId="37" applyFont="1" applyBorder="1" applyAlignment="1">
      <alignment horizontal="center"/>
    </xf>
    <xf numFmtId="0" fontId="67" fillId="0" borderId="1" xfId="37" applyBorder="1"/>
    <xf numFmtId="0" fontId="71" fillId="0" borderId="6" xfId="37" applyFont="1" applyBorder="1"/>
    <xf numFmtId="0" fontId="2" fillId="0" borderId="1" xfId="37" applyFont="1" applyBorder="1" applyAlignment="1">
      <alignment horizontal="center"/>
    </xf>
    <xf numFmtId="0" fontId="2" fillId="0" borderId="1" xfId="37" applyFont="1" applyBorder="1" applyAlignment="1">
      <alignment horizontal="left"/>
    </xf>
    <xf numFmtId="0" fontId="2" fillId="0" borderId="1" xfId="37" applyFont="1" applyBorder="1" applyAlignment="1">
      <alignment horizontal="right"/>
    </xf>
    <xf numFmtId="2" fontId="2" fillId="0" borderId="1" xfId="37" applyNumberFormat="1" applyFont="1" applyBorder="1" applyAlignment="1">
      <alignment horizontal="right"/>
    </xf>
    <xf numFmtId="2" fontId="2" fillId="0" borderId="1" xfId="37" applyNumberFormat="1" applyFont="1" applyBorder="1" applyAlignment="1">
      <alignment horizontal="center" wrapText="1"/>
    </xf>
    <xf numFmtId="2" fontId="67" fillId="0" borderId="1" xfId="37" applyNumberFormat="1" applyBorder="1"/>
    <xf numFmtId="2" fontId="71" fillId="0" borderId="6" xfId="37" applyNumberFormat="1" applyFont="1" applyBorder="1"/>
    <xf numFmtId="0" fontId="67" fillId="0" borderId="1" xfId="37" applyBorder="1" applyAlignment="1">
      <alignment horizontal="left" vertical="center"/>
    </xf>
    <xf numFmtId="0" fontId="67" fillId="0" borderId="1" xfId="37" applyBorder="1" applyAlignment="1">
      <alignment horizontal="right" vertical="center"/>
    </xf>
    <xf numFmtId="2" fontId="67" fillId="0" borderId="1" xfId="37" applyNumberFormat="1" applyBorder="1" applyAlignment="1">
      <alignment horizontal="right" vertical="center"/>
    </xf>
    <xf numFmtId="2" fontId="67" fillId="0" borderId="1" xfId="37" applyNumberFormat="1" applyBorder="1" applyAlignment="1">
      <alignment vertical="center"/>
    </xf>
    <xf numFmtId="0" fontId="23" fillId="0" borderId="1" xfId="37" applyFont="1" applyBorder="1" applyAlignment="1">
      <alignment horizontal="left" vertical="center"/>
    </xf>
    <xf numFmtId="0" fontId="3" fillId="0" borderId="1" xfId="37" applyFont="1" applyBorder="1" applyAlignment="1">
      <alignment horizontal="right" vertical="center"/>
    </xf>
    <xf numFmtId="2" fontId="3" fillId="0" borderId="1" xfId="37" applyNumberFormat="1" applyFont="1" applyBorder="1" applyAlignment="1">
      <alignment vertical="center"/>
    </xf>
    <xf numFmtId="2" fontId="67" fillId="0" borderId="10" xfId="37" applyNumberFormat="1" applyBorder="1" applyAlignment="1"/>
    <xf numFmtId="2" fontId="67" fillId="0" borderId="12" xfId="37" applyNumberFormat="1" applyBorder="1" applyAlignment="1"/>
    <xf numFmtId="2" fontId="3" fillId="0" borderId="1" xfId="37" applyNumberFormat="1" applyFont="1" applyBorder="1"/>
    <xf numFmtId="0" fontId="77" fillId="0" borderId="1" xfId="37" applyFont="1" applyBorder="1" applyAlignment="1">
      <alignment horizontal="left" vertical="center"/>
    </xf>
    <xf numFmtId="2" fontId="77" fillId="0" borderId="1" xfId="37" applyNumberFormat="1" applyFont="1" applyBorder="1" applyAlignment="1">
      <alignment horizontal="right" vertical="center"/>
    </xf>
    <xf numFmtId="2" fontId="2" fillId="0" borderId="1" xfId="37" applyNumberFormat="1" applyFont="1" applyBorder="1" applyAlignment="1">
      <alignment horizontal="right" vertical="center"/>
    </xf>
    <xf numFmtId="2" fontId="71" fillId="0" borderId="1" xfId="37" applyNumberFormat="1" applyFont="1" applyBorder="1"/>
    <xf numFmtId="2" fontId="2" fillId="0" borderId="1" xfId="37" applyNumberFormat="1" applyFont="1" applyBorder="1" applyAlignment="1">
      <alignment wrapText="1"/>
    </xf>
    <xf numFmtId="2" fontId="2" fillId="0" borderId="1" xfId="37" applyNumberFormat="1" applyFont="1" applyBorder="1"/>
    <xf numFmtId="2" fontId="72" fillId="0" borderId="1" xfId="37" applyNumberFormat="1" applyFont="1" applyBorder="1"/>
    <xf numFmtId="2" fontId="72" fillId="0" borderId="1" xfId="37" applyNumberFormat="1" applyFont="1" applyBorder="1" applyAlignment="1">
      <alignment vertical="center"/>
    </xf>
    <xf numFmtId="0" fontId="2" fillId="0" borderId="1" xfId="37" applyFont="1" applyBorder="1"/>
    <xf numFmtId="0" fontId="71" fillId="0" borderId="1" xfId="37" applyFont="1" applyBorder="1" applyAlignment="1">
      <alignment horizontal="right" vertical="center"/>
    </xf>
    <xf numFmtId="2" fontId="71" fillId="0" borderId="1" xfId="37" applyNumberFormat="1" applyFont="1" applyBorder="1" applyAlignment="1">
      <alignment horizontal="right" vertical="center"/>
    </xf>
    <xf numFmtId="0" fontId="2" fillId="0" borderId="0" xfId="37" applyFont="1"/>
    <xf numFmtId="0" fontId="22" fillId="0" borderId="1" xfId="37" applyFont="1" applyBorder="1" applyAlignment="1">
      <alignment horizontal="left" vertical="center"/>
    </xf>
    <xf numFmtId="2" fontId="2" fillId="0" borderId="6" xfId="37" applyNumberFormat="1" applyFont="1" applyBorder="1"/>
    <xf numFmtId="2" fontId="77" fillId="10" borderId="1" xfId="37" applyNumberFormat="1" applyFont="1" applyFill="1" applyBorder="1" applyAlignment="1">
      <alignment horizontal="right"/>
    </xf>
    <xf numFmtId="2" fontId="2" fillId="10" borderId="1" xfId="37" applyNumberFormat="1" applyFont="1" applyFill="1" applyBorder="1" applyAlignment="1">
      <alignment horizontal="right"/>
    </xf>
    <xf numFmtId="2" fontId="2" fillId="10" borderId="6" xfId="37" applyNumberFormat="1" applyFont="1" applyFill="1" applyBorder="1"/>
    <xf numFmtId="0" fontId="2" fillId="0" borderId="1" xfId="37" applyFont="1" applyBorder="1" applyAlignment="1">
      <alignment horizontal="left" vertical="center"/>
    </xf>
    <xf numFmtId="0" fontId="2" fillId="0" borderId="1" xfId="37" applyFont="1" applyBorder="1" applyAlignment="1">
      <alignment horizontal="right" vertical="center"/>
    </xf>
    <xf numFmtId="0" fontId="36" fillId="0" borderId="1" xfId="37" applyFont="1" applyBorder="1" applyAlignment="1">
      <alignment horizontal="left" vertical="center"/>
    </xf>
    <xf numFmtId="2" fontId="3" fillId="0" borderId="1" xfId="37" applyNumberFormat="1" applyFont="1" applyBorder="1" applyAlignment="1">
      <alignment horizontal="right" vertical="center"/>
    </xf>
    <xf numFmtId="2" fontId="81" fillId="10" borderId="1" xfId="37" applyNumberFormat="1" applyFont="1" applyFill="1" applyBorder="1"/>
    <xf numFmtId="2" fontId="3" fillId="10" borderId="1" xfId="37" applyNumberFormat="1" applyFont="1" applyFill="1" applyBorder="1"/>
    <xf numFmtId="0" fontId="5" fillId="0" borderId="1" xfId="37" applyFont="1" applyBorder="1" applyAlignment="1">
      <alignment horizontal="left" vertical="center"/>
    </xf>
    <xf numFmtId="0" fontId="5" fillId="0" borderId="1" xfId="37" applyFont="1" applyBorder="1" applyAlignment="1">
      <alignment horizontal="right" vertical="center"/>
    </xf>
    <xf numFmtId="0" fontId="3" fillId="0" borderId="0" xfId="37" applyFont="1" applyBorder="1" applyAlignment="1">
      <alignment horizontal="right" vertical="center"/>
    </xf>
    <xf numFmtId="0" fontId="3" fillId="0" borderId="5" xfId="37" applyFont="1" applyBorder="1" applyAlignment="1">
      <alignment horizontal="right" vertical="center"/>
    </xf>
    <xf numFmtId="2" fontId="75" fillId="13" borderId="1" xfId="37" applyNumberFormat="1" applyFont="1" applyFill="1" applyBorder="1"/>
    <xf numFmtId="2" fontId="22" fillId="0" borderId="1" xfId="37" applyNumberFormat="1" applyFont="1" applyBorder="1" applyAlignment="1">
      <alignment horizontal="right" vertical="center"/>
    </xf>
    <xf numFmtId="0" fontId="22" fillId="0" borderId="1" xfId="37" applyFont="1" applyBorder="1" applyAlignment="1">
      <alignment horizontal="right" vertical="center"/>
    </xf>
    <xf numFmtId="0" fontId="71" fillId="0" borderId="1" xfId="37" applyFont="1" applyBorder="1" applyAlignment="1">
      <alignment horizontal="left" vertical="center"/>
    </xf>
    <xf numFmtId="2" fontId="2" fillId="0" borderId="1" xfId="37" applyNumberFormat="1" applyFont="1" applyBorder="1" applyAlignment="1">
      <alignment vertical="center"/>
    </xf>
    <xf numFmtId="2" fontId="47" fillId="0" borderId="34" xfId="37" applyNumberFormat="1" applyFont="1" applyBorder="1" applyAlignment="1">
      <alignment horizontal="right"/>
    </xf>
    <xf numFmtId="2" fontId="47" fillId="0" borderId="35" xfId="37" applyNumberFormat="1" applyFont="1" applyBorder="1" applyAlignment="1">
      <alignment horizontal="right"/>
    </xf>
    <xf numFmtId="2" fontId="67" fillId="0" borderId="0" xfId="37" applyNumberFormat="1" applyBorder="1" applyAlignment="1">
      <alignment vertical="center"/>
    </xf>
    <xf numFmtId="2" fontId="67" fillId="0" borderId="0" xfId="37" applyNumberFormat="1"/>
    <xf numFmtId="0" fontId="71" fillId="0" borderId="1" xfId="37" applyFont="1" applyBorder="1"/>
    <xf numFmtId="165" fontId="3" fillId="0" borderId="1" xfId="5" applyNumberFormat="1" applyFont="1" applyBorder="1" applyAlignment="1">
      <alignment vertical="center"/>
    </xf>
    <xf numFmtId="0" fontId="72" fillId="0" borderId="1" xfId="37" applyFont="1" applyBorder="1"/>
    <xf numFmtId="0" fontId="67" fillId="0" borderId="29" xfId="37" applyBorder="1" applyAlignment="1">
      <alignment horizontal="left" vertical="center"/>
    </xf>
    <xf numFmtId="0" fontId="67" fillId="0" borderId="29" xfId="37" applyBorder="1" applyAlignment="1">
      <alignment horizontal="right" vertical="center"/>
    </xf>
    <xf numFmtId="2" fontId="67" fillId="0" borderId="29" xfId="37" applyNumberFormat="1" applyBorder="1" applyAlignment="1">
      <alignment horizontal="right" vertical="center"/>
    </xf>
    <xf numFmtId="2" fontId="72" fillId="0" borderId="29" xfId="37" applyNumberFormat="1" applyFont="1" applyBorder="1"/>
    <xf numFmtId="0" fontId="72" fillId="0" borderId="29" xfId="37" applyFont="1" applyBorder="1"/>
    <xf numFmtId="0" fontId="67" fillId="0" borderId="29" xfId="37" applyBorder="1"/>
    <xf numFmtId="2" fontId="67" fillId="0" borderId="29" xfId="37" applyNumberFormat="1" applyBorder="1"/>
    <xf numFmtId="2" fontId="2" fillId="0" borderId="29" xfId="37" applyNumberFormat="1" applyFont="1" applyBorder="1"/>
    <xf numFmtId="0" fontId="2" fillId="0" borderId="63" xfId="37" applyFont="1" applyBorder="1" applyAlignment="1">
      <alignment horizontal="left" vertical="top" wrapText="1"/>
    </xf>
    <xf numFmtId="0" fontId="2" fillId="0" borderId="63" xfId="37" applyFont="1" applyBorder="1" applyAlignment="1">
      <alignment horizontal="right" vertical="top" wrapText="1"/>
    </xf>
    <xf numFmtId="2" fontId="2" fillId="0" borderId="63" xfId="37" applyNumberFormat="1" applyFont="1" applyBorder="1" applyAlignment="1">
      <alignment horizontal="right" vertical="top" wrapText="1"/>
    </xf>
    <xf numFmtId="2" fontId="2" fillId="10" borderId="63" xfId="37" applyNumberFormat="1" applyFont="1" applyFill="1" applyBorder="1" applyAlignment="1">
      <alignment horizontal="right" vertical="top" wrapText="1"/>
    </xf>
    <xf numFmtId="2" fontId="13" fillId="0" borderId="63" xfId="37" applyNumberFormat="1" applyFont="1" applyBorder="1" applyAlignment="1">
      <alignment horizontal="right" vertical="top" wrapText="1"/>
    </xf>
    <xf numFmtId="2" fontId="2" fillId="0" borderId="63" xfId="37" applyNumberFormat="1" applyFont="1" applyBorder="1" applyAlignment="1">
      <alignment horizontal="right" vertical="center" wrapText="1"/>
    </xf>
    <xf numFmtId="2" fontId="71" fillId="0" borderId="1" xfId="37" applyNumberFormat="1" applyFont="1" applyBorder="1" applyAlignment="1">
      <alignment vertical="center"/>
    </xf>
    <xf numFmtId="2" fontId="67" fillId="0" borderId="63" xfId="37" applyNumberFormat="1" applyBorder="1" applyAlignment="1">
      <alignment horizontal="right" vertical="top" wrapText="1"/>
    </xf>
    <xf numFmtId="2" fontId="3" fillId="0" borderId="63" xfId="37" applyNumberFormat="1" applyFont="1" applyBorder="1" applyAlignment="1">
      <alignment horizontal="right" vertical="top" wrapText="1"/>
    </xf>
    <xf numFmtId="0" fontId="2" fillId="0" borderId="71" xfId="37" applyFont="1" applyBorder="1" applyAlignment="1">
      <alignment horizontal="center" vertical="top" wrapText="1"/>
    </xf>
    <xf numFmtId="0" fontId="2" fillId="0" borderId="1" xfId="37" applyFont="1" applyBorder="1" applyAlignment="1">
      <alignment horizontal="center" vertical="top" wrapText="1"/>
    </xf>
    <xf numFmtId="0" fontId="67" fillId="0" borderId="72" xfId="37" applyBorder="1" applyAlignment="1">
      <alignment horizontal="left" vertical="top" wrapText="1"/>
    </xf>
    <xf numFmtId="0" fontId="67" fillId="0" borderId="72" xfId="37" applyBorder="1" applyAlignment="1">
      <alignment horizontal="right" vertical="top" wrapText="1"/>
    </xf>
    <xf numFmtId="2" fontId="67" fillId="0" borderId="72" xfId="37" applyNumberFormat="1" applyBorder="1" applyAlignment="1">
      <alignment horizontal="right" vertical="top" wrapText="1"/>
    </xf>
    <xf numFmtId="2" fontId="3" fillId="0" borderId="72" xfId="37" applyNumberFormat="1" applyFont="1" applyBorder="1" applyAlignment="1">
      <alignment horizontal="right" vertical="top" wrapText="1"/>
    </xf>
    <xf numFmtId="2" fontId="2" fillId="0" borderId="72" xfId="37" applyNumberFormat="1" applyFont="1" applyBorder="1" applyAlignment="1">
      <alignment horizontal="right" vertical="top" wrapText="1"/>
    </xf>
    <xf numFmtId="0" fontId="67" fillId="0" borderId="29" xfId="37" applyBorder="1" applyAlignment="1">
      <alignment horizontal="left" vertical="top" wrapText="1"/>
    </xf>
    <xf numFmtId="0" fontId="67" fillId="0" borderId="29" xfId="37" applyBorder="1" applyAlignment="1">
      <alignment horizontal="right" vertical="top" wrapText="1"/>
    </xf>
    <xf numFmtId="2" fontId="67" fillId="0" borderId="29" xfId="37" applyNumberFormat="1" applyBorder="1" applyAlignment="1">
      <alignment horizontal="right" vertical="top" wrapText="1"/>
    </xf>
    <xf numFmtId="2" fontId="3" fillId="0" borderId="29" xfId="37" applyNumberFormat="1" applyFont="1" applyBorder="1" applyAlignment="1">
      <alignment horizontal="right" vertical="top" wrapText="1"/>
    </xf>
    <xf numFmtId="2" fontId="2" fillId="0" borderId="29" xfId="37" applyNumberFormat="1" applyFont="1" applyBorder="1" applyAlignment="1">
      <alignment horizontal="right" vertical="top" wrapText="1"/>
    </xf>
    <xf numFmtId="0" fontId="67" fillId="0" borderId="1" xfId="37" applyBorder="1" applyAlignment="1">
      <alignment horizontal="left" vertical="top" wrapText="1"/>
    </xf>
    <xf numFmtId="0" fontId="67" fillId="0" borderId="1" xfId="37" applyBorder="1" applyAlignment="1">
      <alignment horizontal="right" vertical="top" wrapText="1"/>
    </xf>
    <xf numFmtId="2" fontId="67" fillId="0" borderId="1" xfId="37" applyNumberFormat="1" applyBorder="1" applyAlignment="1">
      <alignment horizontal="right" vertical="top" wrapText="1"/>
    </xf>
    <xf numFmtId="2" fontId="3" fillId="0" borderId="1" xfId="37" applyNumberFormat="1" applyFont="1" applyBorder="1" applyAlignment="1">
      <alignment horizontal="right" vertical="top" wrapText="1"/>
    </xf>
    <xf numFmtId="2" fontId="2" fillId="0" borderId="1" xfId="37" applyNumberFormat="1" applyFont="1" applyBorder="1" applyAlignment="1">
      <alignment horizontal="right" vertical="top" wrapText="1"/>
    </xf>
    <xf numFmtId="2" fontId="71" fillId="0" borderId="63" xfId="37" applyNumberFormat="1" applyFont="1" applyBorder="1" applyAlignment="1">
      <alignment horizontal="right" vertical="top" wrapText="1"/>
    </xf>
    <xf numFmtId="0" fontId="71" fillId="0" borderId="1" xfId="37" applyFont="1" applyBorder="1" applyAlignment="1">
      <alignment horizontal="left" vertical="top" wrapText="1"/>
    </xf>
    <xf numFmtId="0" fontId="71" fillId="0" borderId="0" xfId="37" applyFont="1"/>
    <xf numFmtId="2" fontId="82" fillId="0" borderId="0" xfId="37" applyNumberFormat="1" applyFont="1"/>
    <xf numFmtId="0" fontId="69" fillId="0" borderId="0" xfId="37" applyFont="1"/>
    <xf numFmtId="0" fontId="68" fillId="0" borderId="0" xfId="37" applyFont="1"/>
    <xf numFmtId="2" fontId="81" fillId="0" borderId="0" xfId="37" applyNumberFormat="1" applyFont="1"/>
    <xf numFmtId="0" fontId="82" fillId="0" borderId="0" xfId="37" applyFont="1"/>
    <xf numFmtId="0" fontId="81" fillId="0" borderId="0" xfId="37" applyFont="1"/>
    <xf numFmtId="2" fontId="68" fillId="0" borderId="0" xfId="37" applyNumberFormat="1" applyFont="1"/>
    <xf numFmtId="0" fontId="72" fillId="0" borderId="0" xfId="37" applyFont="1"/>
    <xf numFmtId="2" fontId="72" fillId="0" borderId="0" xfId="37" applyNumberFormat="1" applyFont="1"/>
    <xf numFmtId="0" fontId="83" fillId="16" borderId="79" xfId="37" applyFont="1" applyFill="1" applyBorder="1" applyAlignment="1">
      <alignment horizontal="center" vertical="center" wrapText="1" readingOrder="1"/>
    </xf>
    <xf numFmtId="0" fontId="84" fillId="17" borderId="79" xfId="37" applyFont="1" applyFill="1" applyBorder="1" applyAlignment="1">
      <alignment horizontal="left" vertical="center" wrapText="1" readingOrder="1"/>
    </xf>
    <xf numFmtId="2" fontId="85" fillId="17" borderId="80" xfId="37" applyNumberFormat="1" applyFont="1" applyFill="1" applyBorder="1" applyAlignment="1">
      <alignment horizontal="center" vertical="center" wrapText="1" readingOrder="1"/>
    </xf>
    <xf numFmtId="0" fontId="84" fillId="16" borderId="80" xfId="37" applyFont="1" applyFill="1" applyBorder="1" applyAlignment="1">
      <alignment horizontal="left" vertical="center" wrapText="1" readingOrder="1"/>
    </xf>
    <xf numFmtId="0" fontId="85" fillId="16" borderId="80" xfId="37" applyFont="1" applyFill="1" applyBorder="1" applyAlignment="1">
      <alignment horizontal="center" vertical="center" wrapText="1" readingOrder="1"/>
    </xf>
    <xf numFmtId="0" fontId="86" fillId="17" borderId="80" xfId="37" applyFont="1" applyFill="1" applyBorder="1" applyAlignment="1">
      <alignment horizontal="left" vertical="center" wrapText="1" readingOrder="1"/>
    </xf>
    <xf numFmtId="2" fontId="85" fillId="16" borderId="80" xfId="37" applyNumberFormat="1" applyFont="1" applyFill="1" applyBorder="1" applyAlignment="1">
      <alignment horizontal="center" vertical="center" wrapText="1" readingOrder="1"/>
    </xf>
    <xf numFmtId="0" fontId="86" fillId="16" borderId="80" xfId="37" applyFont="1" applyFill="1" applyBorder="1" applyAlignment="1">
      <alignment horizontal="left" vertical="center" wrapText="1" readingOrder="1"/>
    </xf>
    <xf numFmtId="0" fontId="84" fillId="17" borderId="80" xfId="37" applyFont="1" applyFill="1" applyBorder="1" applyAlignment="1">
      <alignment horizontal="left" vertical="center" wrapText="1" readingOrder="1"/>
    </xf>
    <xf numFmtId="0" fontId="52" fillId="16" borderId="80" xfId="37" applyFont="1" applyFill="1" applyBorder="1" applyAlignment="1">
      <alignment horizontal="center" vertical="center" wrapText="1"/>
    </xf>
    <xf numFmtId="0" fontId="85" fillId="16" borderId="80" xfId="37" applyFont="1" applyFill="1" applyBorder="1" applyAlignment="1">
      <alignment horizontal="left" vertical="center" wrapText="1" readingOrder="1"/>
    </xf>
    <xf numFmtId="0" fontId="83" fillId="17" borderId="80" xfId="37" applyFont="1" applyFill="1" applyBorder="1" applyAlignment="1">
      <alignment horizontal="left" vertical="center" wrapText="1" readingOrder="1"/>
    </xf>
    <xf numFmtId="0" fontId="87" fillId="17" borderId="80" xfId="37" applyFont="1" applyFill="1" applyBorder="1" applyAlignment="1">
      <alignment horizontal="center" vertical="center" wrapText="1" readingOrder="1"/>
    </xf>
    <xf numFmtId="0" fontId="2" fillId="0" borderId="19" xfId="0" applyFont="1" applyBorder="1" applyAlignment="1">
      <alignment vertical="top"/>
    </xf>
    <xf numFmtId="2" fontId="2" fillId="0" borderId="1" xfId="0" applyNumberFormat="1" applyFont="1" applyBorder="1">
      <alignment vertical="top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5" fontId="5" fillId="10" borderId="5" xfId="2" applyFont="1" applyFill="1" applyBorder="1" applyAlignment="1">
      <alignment vertical="top"/>
    </xf>
    <xf numFmtId="2" fontId="3" fillId="10" borderId="2" xfId="0" applyNumberFormat="1" applyFont="1" applyFill="1" applyBorder="1" applyAlignment="1">
      <alignment vertical="top"/>
    </xf>
    <xf numFmtId="2" fontId="5" fillId="10" borderId="1" xfId="2" quotePrefix="1" applyNumberFormat="1" applyFont="1" applyFill="1" applyBorder="1" applyAlignment="1">
      <alignment horizontal="center" vertical="top"/>
    </xf>
    <xf numFmtId="0" fontId="2" fillId="0" borderId="62" xfId="0" applyFont="1" applyBorder="1" applyAlignment="1">
      <alignment horizontal="justify"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10" borderId="17" xfId="0" applyFont="1" applyFill="1" applyBorder="1" applyAlignment="1">
      <alignment vertical="center" wrapText="1"/>
    </xf>
    <xf numFmtId="0" fontId="3" fillId="10" borderId="18" xfId="0" applyFont="1" applyFill="1" applyBorder="1" applyAlignment="1">
      <alignment vertical="center" wrapText="1"/>
    </xf>
    <xf numFmtId="0" fontId="2" fillId="10" borderId="19" xfId="0" applyFont="1" applyFill="1" applyBorder="1" applyAlignment="1">
      <alignment vertical="center" wrapText="1"/>
    </xf>
    <xf numFmtId="0" fontId="2" fillId="10" borderId="2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2" fontId="0" fillId="0" borderId="0" xfId="0" applyNumberFormat="1">
      <alignment vertical="top"/>
    </xf>
    <xf numFmtId="0" fontId="21" fillId="3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76" fillId="0" borderId="45" xfId="0" applyFont="1" applyBorder="1" applyAlignment="1">
      <alignment vertical="top" wrapText="1"/>
    </xf>
    <xf numFmtId="0" fontId="76" fillId="0" borderId="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3" xfId="0" applyFont="1" applyBorder="1" applyAlignment="1">
      <alignment vertical="top" wrapText="1"/>
    </xf>
    <xf numFmtId="1" fontId="3" fillId="0" borderId="45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1" fontId="3" fillId="0" borderId="45" xfId="0" quotePrefix="1" applyNumberFormat="1" applyFont="1" applyBorder="1" applyAlignment="1">
      <alignment vertical="center" wrapText="1"/>
    </xf>
    <xf numFmtId="1" fontId="3" fillId="0" borderId="1" xfId="0" quotePrefix="1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vertical="top" wrapText="1"/>
    </xf>
    <xf numFmtId="0" fontId="2" fillId="0" borderId="49" xfId="0" applyFont="1" applyBorder="1" applyAlignment="1">
      <alignment vertical="top" wrapText="1"/>
    </xf>
    <xf numFmtId="1" fontId="88" fillId="0" borderId="45" xfId="0" applyNumberFormat="1" applyFont="1" applyBorder="1" applyAlignment="1">
      <alignment vertical="center" wrapText="1"/>
    </xf>
    <xf numFmtId="1" fontId="88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/>
    <xf numFmtId="9" fontId="3" fillId="0" borderId="1" xfId="0" applyNumberFormat="1" applyFont="1" applyBorder="1" applyAlignment="1"/>
    <xf numFmtId="0" fontId="3" fillId="0" borderId="1" xfId="0" applyFont="1" applyBorder="1" applyAlignment="1">
      <alignment horizontal="right"/>
    </xf>
    <xf numFmtId="165" fontId="2" fillId="8" borderId="1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/>
    <xf numFmtId="0" fontId="14" fillId="0" borderId="5" xfId="0" applyFont="1" applyBorder="1" applyAlignment="1">
      <alignment vertical="top"/>
    </xf>
    <xf numFmtId="2" fontId="14" fillId="0" borderId="51" xfId="0" applyNumberFormat="1" applyFont="1" applyBorder="1" applyAlignment="1">
      <alignment vertical="top"/>
    </xf>
    <xf numFmtId="183" fontId="14" fillId="0" borderId="0" xfId="0" applyNumberFormat="1" applyFont="1" applyAlignment="1"/>
    <xf numFmtId="165" fontId="2" fillId="0" borderId="1" xfId="2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29" fillId="0" borderId="1" xfId="0" applyFont="1" applyBorder="1" applyAlignment="1">
      <alignment horizontal="right" vertical="center"/>
    </xf>
    <xf numFmtId="1" fontId="29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2" applyFont="1" applyBorder="1" applyAlignment="1">
      <alignment vertical="center"/>
    </xf>
    <xf numFmtId="165" fontId="2" fillId="0" borderId="1" xfId="2" applyFont="1" applyFill="1" applyBorder="1" applyAlignment="1">
      <alignment vertical="center"/>
    </xf>
    <xf numFmtId="0" fontId="6" fillId="18" borderId="67" xfId="40" applyFont="1" applyFill="1" applyBorder="1" applyAlignment="1">
      <alignment horizontal="centerContinuous"/>
    </xf>
    <xf numFmtId="0" fontId="6" fillId="18" borderId="26" xfId="40" applyFont="1" applyFill="1" applyBorder="1" applyAlignment="1">
      <alignment horizontal="centerContinuous"/>
    </xf>
    <xf numFmtId="0" fontId="6" fillId="18" borderId="4" xfId="40" applyFont="1" applyFill="1" applyBorder="1" applyAlignment="1">
      <alignment horizontal="centerContinuous"/>
    </xf>
    <xf numFmtId="0" fontId="6" fillId="18" borderId="30" xfId="40" applyFont="1" applyFill="1" applyBorder="1" applyAlignment="1">
      <alignment horizontal="centerContinuous"/>
    </xf>
    <xf numFmtId="0" fontId="6" fillId="18" borderId="62" xfId="40" applyFont="1" applyFill="1" applyBorder="1" applyAlignment="1">
      <alignment horizontal="centerContinuous"/>
    </xf>
    <xf numFmtId="0" fontId="6" fillId="18" borderId="1" xfId="40" applyFont="1" applyFill="1" applyBorder="1" applyAlignment="1">
      <alignment horizontal="centerContinuous"/>
    </xf>
    <xf numFmtId="0" fontId="6" fillId="18" borderId="45" xfId="40" applyFont="1" applyFill="1" applyBorder="1" applyAlignment="1">
      <alignment horizontal="centerContinuous"/>
    </xf>
    <xf numFmtId="0" fontId="5" fillId="18" borderId="0" xfId="40" applyFont="1" applyFill="1"/>
    <xf numFmtId="165" fontId="6" fillId="18" borderId="50" xfId="2" applyFont="1" applyFill="1" applyBorder="1" applyAlignment="1">
      <alignment horizontal="center" wrapText="1"/>
    </xf>
    <xf numFmtId="165" fontId="6" fillId="18" borderId="6" xfId="2" applyFont="1" applyFill="1" applyBorder="1" applyAlignment="1">
      <alignment horizontal="center" wrapText="1"/>
    </xf>
    <xf numFmtId="165" fontId="6" fillId="18" borderId="2" xfId="2" applyFont="1" applyFill="1" applyBorder="1" applyAlignment="1">
      <alignment horizontal="center" wrapText="1"/>
    </xf>
    <xf numFmtId="165" fontId="6" fillId="18" borderId="1" xfId="2" applyFont="1" applyFill="1" applyBorder="1" applyAlignment="1">
      <alignment horizontal="center" wrapText="1"/>
    </xf>
    <xf numFmtId="165" fontId="6" fillId="18" borderId="5" xfId="2" applyFont="1" applyFill="1" applyBorder="1" applyAlignment="1">
      <alignment horizontal="center" wrapText="1"/>
    </xf>
    <xf numFmtId="165" fontId="6" fillId="18" borderId="45" xfId="2" applyFont="1" applyFill="1" applyBorder="1" applyAlignment="1">
      <alignment horizontal="center" wrapText="1"/>
    </xf>
    <xf numFmtId="0" fontId="0" fillId="18" borderId="1" xfId="0" applyFill="1" applyBorder="1" applyAlignment="1">
      <alignment vertical="top" wrapText="1"/>
    </xf>
    <xf numFmtId="0" fontId="75" fillId="0" borderId="1" xfId="0" applyFont="1" applyBorder="1">
      <alignment vertical="top"/>
    </xf>
    <xf numFmtId="0" fontId="2" fillId="0" borderId="1" xfId="0" applyFont="1" applyBorder="1">
      <alignment vertical="top"/>
    </xf>
    <xf numFmtId="0" fontId="8" fillId="14" borderId="56" xfId="0" applyFont="1" applyFill="1" applyBorder="1" applyAlignment="1">
      <alignment horizontal="center" vertical="center" wrapText="1"/>
    </xf>
    <xf numFmtId="0" fontId="2" fillId="0" borderId="0" xfId="0" applyFont="1">
      <alignment vertical="top"/>
    </xf>
    <xf numFmtId="0" fontId="6" fillId="0" borderId="52" xfId="40" applyFont="1" applyFill="1" applyBorder="1"/>
    <xf numFmtId="0" fontId="6" fillId="0" borderId="14" xfId="40" applyFont="1" applyFill="1" applyBorder="1"/>
    <xf numFmtId="0" fontId="6" fillId="0" borderId="63" xfId="40" applyFont="1" applyFill="1" applyBorder="1"/>
    <xf numFmtId="165" fontId="6" fillId="0" borderId="63" xfId="2" applyFont="1" applyFill="1" applyBorder="1"/>
    <xf numFmtId="0" fontId="6" fillId="0" borderId="1" xfId="40" applyFont="1" applyFill="1" applyBorder="1"/>
    <xf numFmtId="0" fontId="1" fillId="0" borderId="1" xfId="40" applyBorder="1"/>
    <xf numFmtId="2" fontId="21" fillId="0" borderId="6" xfId="38" applyNumberFormat="1" applyFont="1" applyBorder="1" applyAlignment="1">
      <alignment vertical="center"/>
    </xf>
    <xf numFmtId="1" fontId="3" fillId="0" borderId="3" xfId="38" applyNumberFormat="1" applyFont="1" applyBorder="1" applyAlignment="1">
      <alignment vertical="center"/>
    </xf>
    <xf numFmtId="0" fontId="3" fillId="0" borderId="70" xfId="28" applyFont="1" applyBorder="1" applyAlignment="1">
      <alignment horizontal="left" vertical="center" wrapText="1"/>
    </xf>
    <xf numFmtId="1" fontId="4" fillId="0" borderId="23" xfId="38" applyNumberFormat="1" applyFont="1" applyBorder="1" applyAlignment="1">
      <alignment vertical="center"/>
    </xf>
    <xf numFmtId="165" fontId="4" fillId="0" borderId="52" xfId="38" applyNumberFormat="1" applyFont="1" applyBorder="1" applyAlignment="1">
      <alignment vertical="center"/>
    </xf>
    <xf numFmtId="2" fontId="1" fillId="0" borderId="1" xfId="40" applyNumberFormat="1" applyBorder="1"/>
    <xf numFmtId="0" fontId="2" fillId="0" borderId="1" xfId="40" applyFont="1" applyBorder="1"/>
    <xf numFmtId="2" fontId="2" fillId="0" borderId="1" xfId="40" applyNumberFormat="1" applyFont="1" applyBorder="1"/>
    <xf numFmtId="0" fontId="2" fillId="0" borderId="1" xfId="0" applyFont="1" applyBorder="1" applyAlignment="1">
      <alignment horizontal="right" vertical="top" wrapText="1"/>
    </xf>
    <xf numFmtId="0" fontId="2" fillId="18" borderId="1" xfId="0" applyFont="1" applyFill="1" applyBorder="1">
      <alignment vertical="top"/>
    </xf>
    <xf numFmtId="0" fontId="2" fillId="2" borderId="1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4" fontId="14" fillId="0" borderId="1" xfId="0" applyNumberFormat="1" applyFont="1" applyBorder="1" applyAlignment="1">
      <alignment vertical="center"/>
    </xf>
    <xf numFmtId="4" fontId="2" fillId="0" borderId="1" xfId="2" applyNumberFormat="1" applyFont="1" applyBorder="1" applyAlignment="1">
      <alignment vertical="center" wrapText="1"/>
    </xf>
    <xf numFmtId="4" fontId="3" fillId="0" borderId="0" xfId="0" applyNumberFormat="1" applyFont="1" applyAlignment="1"/>
    <xf numFmtId="171" fontId="2" fillId="14" borderId="1" xfId="0" applyNumberFormat="1" applyFont="1" applyFill="1" applyBorder="1" applyAlignment="1">
      <alignment horizontal="right"/>
    </xf>
    <xf numFmtId="2" fontId="3" fillId="10" borderId="1" xfId="35" applyNumberFormat="1" applyFont="1" applyFill="1" applyBorder="1" applyAlignment="1">
      <alignment vertical="center"/>
    </xf>
    <xf numFmtId="0" fontId="2" fillId="0" borderId="1" xfId="35" applyFont="1" applyFill="1" applyBorder="1" applyAlignment="1"/>
    <xf numFmtId="165" fontId="2" fillId="0" borderId="1" xfId="8" applyFont="1" applyFill="1" applyBorder="1" applyAlignment="1">
      <alignment horizontal="center"/>
    </xf>
    <xf numFmtId="165" fontId="2" fillId="0" borderId="1" xfId="35" applyNumberFormat="1" applyFont="1" applyFill="1" applyBorder="1" applyAlignment="1"/>
    <xf numFmtId="170" fontId="2" fillId="0" borderId="1" xfId="35" applyNumberFormat="1" applyFont="1" applyFill="1" applyBorder="1" applyAlignment="1"/>
    <xf numFmtId="0" fontId="2" fillId="0" borderId="1" xfId="35" applyFont="1" applyFill="1" applyBorder="1" applyAlignment="1">
      <alignment horizontal="left" wrapText="1"/>
    </xf>
    <xf numFmtId="170" fontId="2" fillId="0" borderId="1" xfId="35" applyNumberFormat="1" applyFont="1" applyFill="1" applyBorder="1" applyAlignment="1">
      <alignment horizontal="center"/>
    </xf>
    <xf numFmtId="165" fontId="2" fillId="0" borderId="1" xfId="8" applyFont="1" applyFill="1" applyBorder="1" applyAlignment="1">
      <alignment horizontal="right"/>
    </xf>
    <xf numFmtId="0" fontId="2" fillId="0" borderId="1" xfId="35" applyFont="1" applyFill="1" applyBorder="1" applyAlignment="1">
      <alignment vertical="top" wrapText="1"/>
    </xf>
    <xf numFmtId="0" fontId="56" fillId="19" borderId="81" xfId="0" applyFont="1" applyFill="1" applyBorder="1" applyAlignment="1">
      <alignment horizontal="left" vertical="top" wrapText="1" indent="16"/>
    </xf>
    <xf numFmtId="0" fontId="56" fillId="13" borderId="82" xfId="0" applyFont="1" applyFill="1" applyBorder="1" applyAlignment="1">
      <alignment horizontal="center" vertical="top" wrapText="1"/>
    </xf>
    <xf numFmtId="0" fontId="58" fillId="19" borderId="83" xfId="0" applyFont="1" applyFill="1" applyBorder="1" applyAlignment="1">
      <alignment horizontal="center" vertical="center" wrapText="1"/>
    </xf>
    <xf numFmtId="0" fontId="59" fillId="19" borderId="83" xfId="0" applyFont="1" applyFill="1" applyBorder="1" applyAlignment="1">
      <alignment horizontal="center" vertical="center" wrapText="1"/>
    </xf>
    <xf numFmtId="0" fontId="89" fillId="19" borderId="83" xfId="0" applyFont="1" applyFill="1" applyBorder="1" applyAlignment="1">
      <alignment horizontal="center" vertical="center" wrapText="1"/>
    </xf>
    <xf numFmtId="0" fontId="89" fillId="19" borderId="81" xfId="0" applyFont="1" applyFill="1" applyBorder="1" applyAlignment="1">
      <alignment horizontal="center" vertical="center" wrapText="1"/>
    </xf>
    <xf numFmtId="0" fontId="59" fillId="19" borderId="1" xfId="0" applyFont="1" applyFill="1" applyBorder="1" applyAlignment="1">
      <alignment horizontal="center" vertical="center" wrapText="1"/>
    </xf>
    <xf numFmtId="0" fontId="89" fillId="19" borderId="1" xfId="0" applyFont="1" applyFill="1" applyBorder="1" applyAlignment="1">
      <alignment horizontal="center" vertical="center" wrapText="1"/>
    </xf>
    <xf numFmtId="0" fontId="89" fillId="13" borderId="1" xfId="0" applyFont="1" applyFill="1" applyBorder="1" applyAlignment="1">
      <alignment horizontal="center" vertical="center" wrapText="1"/>
    </xf>
    <xf numFmtId="0" fontId="20" fillId="0" borderId="83" xfId="0" applyFont="1" applyFill="1" applyBorder="1" applyAlignment="1">
      <alignment horizontal="left" vertical="top" wrapText="1" indent="1"/>
    </xf>
    <xf numFmtId="0" fontId="90" fillId="0" borderId="83" xfId="0" applyFont="1" applyFill="1" applyBorder="1" applyAlignment="1">
      <alignment horizontal="left" wrapText="1"/>
    </xf>
    <xf numFmtId="0" fontId="90" fillId="0" borderId="81" xfId="0" applyFont="1" applyFill="1" applyBorder="1" applyAlignment="1">
      <alignment horizontal="left" wrapText="1"/>
    </xf>
    <xf numFmtId="0" fontId="0" fillId="13" borderId="1" xfId="0" applyFill="1" applyBorder="1" applyAlignment="1"/>
    <xf numFmtId="0" fontId="20" fillId="0" borderId="83" xfId="0" applyFont="1" applyFill="1" applyBorder="1" applyAlignment="1">
      <alignment horizontal="left" vertical="top" wrapText="1"/>
    </xf>
    <xf numFmtId="184" fontId="91" fillId="0" borderId="83" xfId="0" applyNumberFormat="1" applyFont="1" applyFill="1" applyBorder="1" applyAlignment="1">
      <alignment horizontal="right" vertical="center" shrinkToFit="1"/>
    </xf>
    <xf numFmtId="2" fontId="91" fillId="0" borderId="83" xfId="0" applyNumberFormat="1" applyFont="1" applyFill="1" applyBorder="1" applyAlignment="1">
      <alignment horizontal="right" vertical="center" shrinkToFit="1"/>
    </xf>
    <xf numFmtId="2" fontId="91" fillId="0" borderId="81" xfId="0" applyNumberFormat="1" applyFont="1" applyFill="1" applyBorder="1" applyAlignment="1">
      <alignment horizontal="right" vertical="center" shrinkToFit="1"/>
    </xf>
    <xf numFmtId="2" fontId="0" fillId="13" borderId="1" xfId="0" applyNumberFormat="1" applyFill="1" applyBorder="1" applyAlignment="1">
      <alignment horizontal="right" vertical="center"/>
    </xf>
    <xf numFmtId="0" fontId="56" fillId="0" borderId="83" xfId="0" applyFont="1" applyFill="1" applyBorder="1" applyAlignment="1">
      <alignment horizontal="left" vertical="top" wrapText="1"/>
    </xf>
    <xf numFmtId="0" fontId="92" fillId="0" borderId="83" xfId="0" applyFont="1" applyFill="1" applyBorder="1" applyAlignment="1">
      <alignment horizontal="right" vertical="center" wrapText="1"/>
    </xf>
    <xf numFmtId="2" fontId="93" fillId="0" borderId="83" xfId="0" applyNumberFormat="1" applyFont="1" applyFill="1" applyBorder="1" applyAlignment="1">
      <alignment horizontal="right" vertical="center" shrinkToFit="1"/>
    </xf>
    <xf numFmtId="2" fontId="93" fillId="0" borderId="81" xfId="0" applyNumberFormat="1" applyFont="1" applyFill="1" applyBorder="1" applyAlignment="1">
      <alignment horizontal="right" vertical="center" shrinkToFit="1"/>
    </xf>
    <xf numFmtId="2" fontId="93" fillId="0" borderId="1" xfId="0" applyNumberFormat="1" applyFont="1" applyFill="1" applyBorder="1" applyAlignment="1">
      <alignment horizontal="right" vertical="center" shrinkToFit="1"/>
    </xf>
    <xf numFmtId="2" fontId="93" fillId="13" borderId="1" xfId="0" applyNumberFormat="1" applyFont="1" applyFill="1" applyBorder="1" applyAlignment="1">
      <alignment horizontal="right" vertical="center" shrinkToFit="1"/>
    </xf>
    <xf numFmtId="2" fontId="71" fillId="0" borderId="1" xfId="0" applyNumberFormat="1" applyFont="1" applyBorder="1" applyAlignment="1">
      <alignment vertical="center"/>
    </xf>
    <xf numFmtId="0" fontId="90" fillId="0" borderId="83" xfId="0" applyFont="1" applyFill="1" applyBorder="1" applyAlignment="1">
      <alignment horizontal="right" vertical="center" wrapText="1"/>
    </xf>
    <xf numFmtId="0" fontId="90" fillId="0" borderId="81" xfId="0" applyFont="1" applyFill="1" applyBorder="1" applyAlignment="1">
      <alignment horizontal="right" vertical="center" wrapText="1"/>
    </xf>
    <xf numFmtId="0" fontId="90" fillId="0" borderId="83" xfId="0" applyFont="1" applyFill="1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center"/>
    </xf>
    <xf numFmtId="0" fontId="94" fillId="0" borderId="83" xfId="0" applyFont="1" applyFill="1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center"/>
    </xf>
    <xf numFmtId="2" fontId="71" fillId="13" borderId="1" xfId="0" applyNumberFormat="1" applyFont="1" applyFill="1" applyBorder="1" applyAlignment="1">
      <alignment horizontal="right" vertical="center"/>
    </xf>
    <xf numFmtId="184" fontId="93" fillId="0" borderId="83" xfId="0" applyNumberFormat="1" applyFont="1" applyFill="1" applyBorder="1" applyAlignment="1">
      <alignment horizontal="right" vertical="center" shrinkToFit="1"/>
    </xf>
    <xf numFmtId="0" fontId="20" fillId="0" borderId="83" xfId="0" applyFont="1" applyFill="1" applyBorder="1" applyAlignment="1">
      <alignment horizontal="left" vertical="center" wrapText="1"/>
    </xf>
    <xf numFmtId="2" fontId="71" fillId="0" borderId="1" xfId="0" applyNumberFormat="1" applyFont="1" applyFill="1" applyBorder="1" applyAlignment="1">
      <alignment horizontal="right" vertical="center"/>
    </xf>
    <xf numFmtId="185" fontId="36" fillId="0" borderId="1" xfId="0" applyNumberFormat="1" applyFont="1" applyBorder="1" applyAlignment="1">
      <alignment horizontal="right"/>
    </xf>
    <xf numFmtId="0" fontId="90" fillId="0" borderId="1" xfId="0" applyFont="1" applyFill="1" applyBorder="1" applyAlignment="1">
      <alignment horizontal="left" wrapText="1"/>
    </xf>
    <xf numFmtId="2" fontId="91" fillId="0" borderId="1" xfId="0" applyNumberFormat="1" applyFont="1" applyFill="1" applyBorder="1" applyAlignment="1">
      <alignment horizontal="right" vertical="center" shrinkToFit="1"/>
    </xf>
    <xf numFmtId="0" fontId="90" fillId="0" borderId="1" xfId="0" applyFont="1" applyFill="1" applyBorder="1" applyAlignment="1">
      <alignment horizontal="right" vertical="center" wrapText="1"/>
    </xf>
    <xf numFmtId="2" fontId="90" fillId="0" borderId="81" xfId="0" applyNumberFormat="1" applyFont="1" applyFill="1" applyBorder="1" applyAlignment="1">
      <alignment horizontal="right" vertical="center" wrapText="1"/>
    </xf>
    <xf numFmtId="2" fontId="0" fillId="13" borderId="1" xfId="0" applyNumberFormat="1" applyFill="1" applyBorder="1" applyAlignment="1">
      <alignment vertical="center"/>
    </xf>
    <xf numFmtId="0" fontId="0" fillId="13" borderId="0" xfId="0" applyFill="1" applyAlignment="1"/>
    <xf numFmtId="2" fontId="0" fillId="13" borderId="0" xfId="0" applyNumberFormat="1" applyFill="1" applyAlignment="1"/>
    <xf numFmtId="2" fontId="93" fillId="0" borderId="1" xfId="0" applyNumberFormat="1" applyFont="1" applyFill="1" applyBorder="1" applyAlignment="1">
      <alignment horizontal="center" shrinkToFit="1"/>
    </xf>
    <xf numFmtId="2" fontId="20" fillId="0" borderId="83" xfId="0" applyNumberFormat="1" applyFont="1" applyFill="1" applyBorder="1" applyAlignment="1">
      <alignment horizontal="right" vertical="center" shrinkToFit="1"/>
    </xf>
    <xf numFmtId="2" fontId="20" fillId="0" borderId="81" xfId="0" applyNumberFormat="1" applyFont="1" applyFill="1" applyBorder="1" applyAlignment="1">
      <alignment horizontal="right" vertical="center" shrinkToFit="1"/>
    </xf>
    <xf numFmtId="2" fontId="20" fillId="0" borderId="1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13" borderId="0" xfId="0" applyFill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71" fillId="0" borderId="0" xfId="0" applyNumberFormat="1" applyFont="1" applyAlignment="1">
      <alignment horizontal="right" vertical="center"/>
    </xf>
    <xf numFmtId="0" fontId="95" fillId="0" borderId="0" xfId="0" applyFont="1" applyAlignment="1"/>
    <xf numFmtId="0" fontId="71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13" borderId="0" xfId="0" applyFill="1" applyAlignment="1">
      <alignment horizontal="left" vertical="center"/>
    </xf>
    <xf numFmtId="2" fontId="56" fillId="0" borderId="1" xfId="0" applyNumberFormat="1" applyFont="1" applyFill="1" applyBorder="1" applyAlignment="1">
      <alignment horizontal="right" vertical="center" shrinkToFit="1"/>
    </xf>
    <xf numFmtId="2" fontId="91" fillId="10" borderId="83" xfId="0" applyNumberFormat="1" applyFont="1" applyFill="1" applyBorder="1" applyAlignment="1">
      <alignment horizontal="right" vertical="center" shrinkToFit="1"/>
    </xf>
    <xf numFmtId="2" fontId="93" fillId="10" borderId="83" xfId="0" applyNumberFormat="1" applyFont="1" applyFill="1" applyBorder="1" applyAlignment="1">
      <alignment horizontal="right" vertical="center" shrinkToFit="1"/>
    </xf>
    <xf numFmtId="2" fontId="91" fillId="10" borderId="81" xfId="0" applyNumberFormat="1" applyFont="1" applyFill="1" applyBorder="1" applyAlignment="1">
      <alignment horizontal="right" vertical="center" shrinkToFit="1"/>
    </xf>
    <xf numFmtId="2" fontId="91" fillId="10" borderId="1" xfId="0" applyNumberFormat="1" applyFont="1" applyFill="1" applyBorder="1" applyAlignment="1">
      <alignment horizontal="right" vertical="center" shrinkToFit="1"/>
    </xf>
    <xf numFmtId="0" fontId="73" fillId="0" borderId="0" xfId="0" applyFont="1" applyAlignment="1">
      <alignment horizontal="right" vertical="center"/>
    </xf>
    <xf numFmtId="2" fontId="73" fillId="0" borderId="0" xfId="0" applyNumberFormat="1" applyFont="1" applyAlignment="1"/>
    <xf numFmtId="0" fontId="2" fillId="0" borderId="1" xfId="35" applyFont="1" applyBorder="1" applyAlignment="1"/>
    <xf numFmtId="0" fontId="2" fillId="0" borderId="29" xfId="35" applyFont="1" applyFill="1" applyBorder="1" applyAlignment="1"/>
    <xf numFmtId="2" fontId="2" fillId="0" borderId="1" xfId="35" applyNumberFormat="1" applyFont="1" applyBorder="1" applyAlignment="1"/>
    <xf numFmtId="2" fontId="2" fillId="0" borderId="21" xfId="35" applyNumberFormat="1" applyFont="1" applyBorder="1" applyAlignment="1"/>
    <xf numFmtId="169" fontId="2" fillId="0" borderId="1" xfId="0" applyNumberFormat="1" applyFont="1" applyBorder="1">
      <alignment vertical="top"/>
    </xf>
    <xf numFmtId="0" fontId="2" fillId="0" borderId="1" xfId="35" applyFont="1" applyFill="1" applyBorder="1" applyAlignment="1">
      <alignment horizontal="left" wrapText="1" indent="1"/>
    </xf>
    <xf numFmtId="0" fontId="2" fillId="0" borderId="1" xfId="35" applyFont="1" applyFill="1" applyBorder="1" applyAlignment="1">
      <alignment horizontal="left" indent="1"/>
    </xf>
    <xf numFmtId="165" fontId="2" fillId="0" borderId="1" xfId="35" applyNumberFormat="1" applyFont="1" applyBorder="1" applyAlignment="1"/>
    <xf numFmtId="165" fontId="2" fillId="13" borderId="1" xfId="35" applyNumberFormat="1" applyFont="1" applyFill="1" applyBorder="1" applyAlignment="1"/>
    <xf numFmtId="0" fontId="2" fillId="0" borderId="1" xfId="35" applyFont="1" applyFill="1" applyBorder="1" applyAlignment="1">
      <alignment horizontal="right"/>
    </xf>
    <xf numFmtId="165" fontId="88" fillId="0" borderId="1" xfId="8" applyFont="1" applyFill="1" applyBorder="1" applyAlignment="1">
      <alignment horizontal="center"/>
    </xf>
    <xf numFmtId="165" fontId="2" fillId="0" borderId="21" xfId="8" applyFont="1" applyFill="1" applyBorder="1" applyAlignment="1">
      <alignment horizontal="center"/>
    </xf>
    <xf numFmtId="165" fontId="2" fillId="0" borderId="21" xfId="8" applyFont="1" applyFill="1" applyBorder="1" applyAlignment="1">
      <alignment horizontal="right"/>
    </xf>
    <xf numFmtId="165" fontId="2" fillId="13" borderId="21" xfId="8" applyFont="1" applyFill="1" applyBorder="1" applyAlignment="1">
      <alignment horizontal="center"/>
    </xf>
    <xf numFmtId="0" fontId="2" fillId="0" borderId="29" xfId="35" applyFont="1" applyFill="1" applyBorder="1" applyAlignment="1">
      <alignment horizontal="right" vertical="top"/>
    </xf>
    <xf numFmtId="170" fontId="2" fillId="0" borderId="1" xfId="35" applyNumberFormat="1" applyFont="1" applyFill="1" applyBorder="1" applyAlignment="1">
      <alignment horizontal="right"/>
    </xf>
    <xf numFmtId="170" fontId="2" fillId="0" borderId="1" xfId="8" applyNumberFormat="1" applyFont="1" applyFill="1" applyBorder="1" applyAlignment="1">
      <alignment horizontal="right"/>
    </xf>
    <xf numFmtId="2" fontId="2" fillId="0" borderId="1" xfId="35" applyNumberFormat="1" applyFont="1" applyFill="1" applyBorder="1" applyAlignment="1">
      <alignment horizontal="right"/>
    </xf>
    <xf numFmtId="0" fontId="2" fillId="0" borderId="1" xfId="35" applyFont="1" applyFill="1" applyBorder="1" applyAlignment="1">
      <alignment horizontal="left" indent="2"/>
    </xf>
    <xf numFmtId="2" fontId="13" fillId="0" borderId="1" xfId="35" applyNumberFormat="1" applyFont="1" applyFill="1" applyBorder="1" applyAlignment="1">
      <alignment horizontal="right"/>
    </xf>
    <xf numFmtId="165" fontId="2" fillId="0" borderId="1" xfId="35" applyNumberFormat="1" applyFont="1" applyFill="1" applyBorder="1" applyAlignment="1">
      <alignment horizontal="right"/>
    </xf>
    <xf numFmtId="0" fontId="96" fillId="0" borderId="1" xfId="35" applyFont="1" applyBorder="1" applyAlignment="1"/>
    <xf numFmtId="0" fontId="2" fillId="20" borderId="1" xfId="0" applyFont="1" applyFill="1" applyBorder="1">
      <alignment vertical="top"/>
    </xf>
    <xf numFmtId="2" fontId="0" fillId="21" borderId="1" xfId="0" applyNumberFormat="1" applyFill="1" applyBorder="1">
      <alignment vertical="top"/>
    </xf>
    <xf numFmtId="0" fontId="3" fillId="21" borderId="0" xfId="0" applyFont="1" applyFill="1" applyAlignment="1"/>
    <xf numFmtId="0" fontId="2" fillId="21" borderId="1" xfId="0" applyFont="1" applyFill="1" applyBorder="1">
      <alignment vertical="top"/>
    </xf>
    <xf numFmtId="0" fontId="0" fillId="21" borderId="1" xfId="0" applyFill="1" applyBorder="1">
      <alignment vertical="top"/>
    </xf>
    <xf numFmtId="2" fontId="2" fillId="21" borderId="1" xfId="0" applyNumberFormat="1" applyFont="1" applyFill="1" applyBorder="1">
      <alignment vertical="top"/>
    </xf>
    <xf numFmtId="0" fontId="0" fillId="21" borderId="0" xfId="0" applyFill="1">
      <alignment vertical="top"/>
    </xf>
    <xf numFmtId="2" fontId="2" fillId="22" borderId="1" xfId="0" applyNumberFormat="1" applyFont="1" applyFill="1" applyBorder="1">
      <alignment vertical="top"/>
    </xf>
    <xf numFmtId="0" fontId="78" fillId="23" borderId="0" xfId="0" applyFont="1" applyFill="1" applyAlignment="1"/>
    <xf numFmtId="2" fontId="14" fillId="23" borderId="0" xfId="0" applyNumberFormat="1" applyFont="1" applyFill="1" applyAlignment="1"/>
    <xf numFmtId="165" fontId="14" fillId="23" borderId="1" xfId="0" applyNumberFormat="1" applyFont="1" applyFill="1" applyBorder="1" applyAlignment="1"/>
    <xf numFmtId="0" fontId="3" fillId="23" borderId="0" xfId="0" applyFont="1" applyFill="1" applyAlignment="1"/>
    <xf numFmtId="0" fontId="3" fillId="23" borderId="45" xfId="0" applyFont="1" applyFill="1" applyBorder="1" applyAlignment="1">
      <alignment vertical="top"/>
    </xf>
    <xf numFmtId="0" fontId="3" fillId="23" borderId="43" xfId="0" applyFont="1" applyFill="1" applyBorder="1" applyAlignment="1">
      <alignment vertical="top"/>
    </xf>
    <xf numFmtId="0" fontId="3" fillId="23" borderId="50" xfId="0" applyFont="1" applyFill="1" applyBorder="1" applyAlignment="1">
      <alignment vertical="top"/>
    </xf>
    <xf numFmtId="10" fontId="3" fillId="23" borderId="50" xfId="0" applyNumberFormat="1" applyFont="1" applyFill="1" applyBorder="1" applyAlignment="1">
      <alignment vertical="top"/>
    </xf>
    <xf numFmtId="0" fontId="3" fillId="23" borderId="44" xfId="0" applyFont="1" applyFill="1" applyBorder="1" applyAlignment="1">
      <alignment vertical="top"/>
    </xf>
    <xf numFmtId="0" fontId="3" fillId="23" borderId="51" xfId="0" applyFont="1" applyFill="1" applyBorder="1" applyAlignment="1">
      <alignment vertical="top"/>
    </xf>
    <xf numFmtId="0" fontId="14" fillId="23" borderId="0" xfId="0" applyFont="1" applyFill="1" applyAlignment="1"/>
    <xf numFmtId="165" fontId="5" fillId="10" borderId="17" xfId="0" applyNumberFormat="1" applyFont="1" applyFill="1" applyBorder="1" applyAlignment="1"/>
    <xf numFmtId="165" fontId="5" fillId="23" borderId="44" xfId="0" applyNumberFormat="1" applyFont="1" applyFill="1" applyBorder="1" applyAlignment="1"/>
    <xf numFmtId="165" fontId="5" fillId="23" borderId="55" xfId="0" applyNumberFormat="1" applyFont="1" applyFill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4" fillId="11" borderId="0" xfId="0" applyFont="1" applyFill="1" applyAlignment="1">
      <alignment vertical="top"/>
    </xf>
    <xf numFmtId="0" fontId="3" fillId="11" borderId="0" xfId="0" applyFont="1" applyFill="1" applyAlignment="1">
      <alignment vertical="top"/>
    </xf>
    <xf numFmtId="0" fontId="3" fillId="11" borderId="0" xfId="0" applyFont="1" applyFill="1" applyBorder="1" applyAlignment="1">
      <alignment vertical="top"/>
    </xf>
    <xf numFmtId="0" fontId="3" fillId="11" borderId="46" xfId="0" applyFont="1" applyFill="1" applyBorder="1" applyAlignment="1">
      <alignment vertical="top"/>
    </xf>
    <xf numFmtId="0" fontId="14" fillId="11" borderId="1" xfId="0" applyFont="1" applyFill="1" applyBorder="1" applyAlignment="1">
      <alignment vertical="top"/>
    </xf>
    <xf numFmtId="2" fontId="3" fillId="11" borderId="1" xfId="0" applyNumberFormat="1" applyFont="1" applyFill="1" applyBorder="1" applyAlignment="1">
      <alignment vertical="top"/>
    </xf>
    <xf numFmtId="2" fontId="5" fillId="11" borderId="1" xfId="2" quotePrefix="1" applyNumberFormat="1" applyFont="1" applyFill="1" applyBorder="1" applyAlignment="1">
      <alignment horizontal="center" vertical="top"/>
    </xf>
    <xf numFmtId="165" fontId="5" fillId="11" borderId="5" xfId="2" applyFont="1" applyFill="1" applyBorder="1" applyAlignment="1">
      <alignment vertical="top"/>
    </xf>
    <xf numFmtId="165" fontId="5" fillId="11" borderId="1" xfId="2" applyFont="1" applyFill="1" applyBorder="1" applyAlignment="1">
      <alignment vertical="top"/>
    </xf>
    <xf numFmtId="2" fontId="14" fillId="11" borderId="51" xfId="0" applyNumberFormat="1" applyFont="1" applyFill="1" applyBorder="1" applyAlignment="1">
      <alignment vertical="top"/>
    </xf>
    <xf numFmtId="2" fontId="14" fillId="11" borderId="1" xfId="0" applyNumberFormat="1" applyFont="1" applyFill="1" applyBorder="1" applyAlignment="1">
      <alignment vertical="top"/>
    </xf>
    <xf numFmtId="165" fontId="6" fillId="11" borderId="1" xfId="2" applyFont="1" applyFill="1" applyBorder="1" applyAlignment="1">
      <alignment vertical="top"/>
    </xf>
    <xf numFmtId="43" fontId="14" fillId="11" borderId="0" xfId="0" applyNumberFormat="1" applyFont="1" applyFill="1" applyAlignment="1">
      <alignment vertical="top"/>
    </xf>
    <xf numFmtId="165" fontId="5" fillId="11" borderId="6" xfId="2" applyFont="1" applyFill="1" applyBorder="1" applyAlignment="1">
      <alignment vertical="top"/>
    </xf>
    <xf numFmtId="2" fontId="14" fillId="11" borderId="0" xfId="0" applyNumberFormat="1" applyFont="1" applyFill="1" applyAlignment="1">
      <alignment vertical="top"/>
    </xf>
    <xf numFmtId="0" fontId="1" fillId="11" borderId="0" xfId="0" applyFont="1" applyFill="1" applyAlignment="1">
      <alignment vertical="top"/>
    </xf>
    <xf numFmtId="0" fontId="0" fillId="10" borderId="1" xfId="0" applyFill="1" applyBorder="1">
      <alignment vertical="top"/>
    </xf>
    <xf numFmtId="2" fontId="0" fillId="10" borderId="1" xfId="0" applyNumberFormat="1" applyFill="1" applyBorder="1">
      <alignment vertical="top"/>
    </xf>
    <xf numFmtId="0" fontId="1" fillId="10" borderId="1" xfId="0" applyFont="1" applyFill="1" applyBorder="1">
      <alignment vertical="top"/>
    </xf>
    <xf numFmtId="0" fontId="5" fillId="10" borderId="0" xfId="40" applyFont="1" applyFill="1"/>
    <xf numFmtId="0" fontId="2" fillId="10" borderId="1" xfId="0" applyFont="1" applyFill="1" applyBorder="1" applyAlignment="1">
      <alignment horizontal="center" vertical="center"/>
    </xf>
    <xf numFmtId="0" fontId="2" fillId="10" borderId="1" xfId="0" applyFont="1" applyFill="1" applyBorder="1">
      <alignment vertical="top"/>
    </xf>
    <xf numFmtId="2" fontId="2" fillId="10" borderId="1" xfId="0" applyNumberFormat="1" applyFont="1" applyFill="1" applyBorder="1">
      <alignment vertical="top"/>
    </xf>
    <xf numFmtId="0" fontId="1" fillId="10" borderId="0" xfId="0" applyFont="1" applyFill="1">
      <alignment vertical="top"/>
    </xf>
    <xf numFmtId="0" fontId="1" fillId="10" borderId="1" xfId="0" applyFont="1" applyFill="1" applyBorder="1" applyAlignment="1">
      <alignment vertical="top" wrapText="1"/>
    </xf>
    <xf numFmtId="2" fontId="1" fillId="10" borderId="1" xfId="0" applyNumberFormat="1" applyFont="1" applyFill="1" applyBorder="1">
      <alignment vertical="top"/>
    </xf>
    <xf numFmtId="0" fontId="1" fillId="10" borderId="1" xfId="0" applyFont="1" applyFill="1" applyBorder="1" applyAlignment="1">
      <alignment vertical="top"/>
    </xf>
    <xf numFmtId="0" fontId="5" fillId="10" borderId="2" xfId="0" applyFont="1" applyFill="1" applyBorder="1" applyAlignment="1">
      <alignment horizontal="right" vertical="top"/>
    </xf>
    <xf numFmtId="0" fontId="5" fillId="10" borderId="6" xfId="0" applyFont="1" applyFill="1" applyBorder="1" applyAlignment="1">
      <alignment vertical="top" wrapText="1"/>
    </xf>
    <xf numFmtId="165" fontId="5" fillId="10" borderId="50" xfId="2" applyFont="1" applyFill="1" applyBorder="1"/>
    <xf numFmtId="165" fontId="5" fillId="10" borderId="6" xfId="2" applyFont="1" applyFill="1" applyBorder="1"/>
    <xf numFmtId="0" fontId="5" fillId="10" borderId="1" xfId="40" applyFont="1" applyFill="1" applyBorder="1"/>
    <xf numFmtId="165" fontId="5" fillId="10" borderId="1" xfId="2" applyFont="1" applyFill="1" applyBorder="1"/>
    <xf numFmtId="0" fontId="5" fillId="10" borderId="5" xfId="40" applyFont="1" applyFill="1" applyBorder="1"/>
    <xf numFmtId="165" fontId="5" fillId="10" borderId="1" xfId="40" applyNumberFormat="1" applyFont="1" applyFill="1" applyBorder="1"/>
    <xf numFmtId="0" fontId="6" fillId="10" borderId="6" xfId="0" applyFont="1" applyFill="1" applyBorder="1" applyAlignment="1">
      <alignment horizontal="left" vertical="top" wrapText="1"/>
    </xf>
    <xf numFmtId="165" fontId="6" fillId="10" borderId="6" xfId="2" applyFont="1" applyFill="1" applyBorder="1"/>
    <xf numFmtId="165" fontId="6" fillId="10" borderId="5" xfId="2" applyFont="1" applyFill="1" applyBorder="1"/>
    <xf numFmtId="165" fontId="6" fillId="10" borderId="1" xfId="2" applyFont="1" applyFill="1" applyBorder="1"/>
    <xf numFmtId="0" fontId="6" fillId="10" borderId="6" xfId="0" applyFont="1" applyFill="1" applyBorder="1" applyAlignment="1">
      <alignment horizontal="left" vertical="top" wrapText="1" indent="1"/>
    </xf>
    <xf numFmtId="165" fontId="5" fillId="10" borderId="5" xfId="40" applyNumberFormat="1" applyFont="1" applyFill="1" applyBorder="1"/>
    <xf numFmtId="0" fontId="5" fillId="10" borderId="45" xfId="0" applyFont="1" applyFill="1" applyBorder="1" applyAlignment="1">
      <alignment horizontal="right" vertical="top"/>
    </xf>
    <xf numFmtId="0" fontId="6" fillId="10" borderId="5" xfId="0" applyFont="1" applyFill="1" applyBorder="1" applyAlignment="1">
      <alignment horizontal="left" vertical="top" wrapText="1" indent="1"/>
    </xf>
    <xf numFmtId="0" fontId="6" fillId="10" borderId="45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 wrapText="1"/>
    </xf>
    <xf numFmtId="165" fontId="6" fillId="10" borderId="50" xfId="2" applyFont="1" applyFill="1" applyBorder="1" applyAlignment="1">
      <alignment horizontal="center" vertical="center"/>
    </xf>
    <xf numFmtId="165" fontId="6" fillId="10" borderId="1" xfId="2" applyFont="1" applyFill="1" applyBorder="1" applyAlignment="1">
      <alignment horizontal="center" vertical="center"/>
    </xf>
    <xf numFmtId="0" fontId="6" fillId="10" borderId="1" xfId="40" applyFont="1" applyFill="1" applyBorder="1" applyAlignment="1">
      <alignment horizontal="center" vertical="center"/>
    </xf>
    <xf numFmtId="165" fontId="6" fillId="10" borderId="5" xfId="40" applyNumberFormat="1" applyFont="1" applyFill="1" applyBorder="1" applyAlignment="1">
      <alignment horizontal="center" vertical="center"/>
    </xf>
    <xf numFmtId="0" fontId="6" fillId="10" borderId="0" xfId="40" applyFont="1" applyFill="1" applyAlignment="1">
      <alignment horizontal="center" vertical="center"/>
    </xf>
    <xf numFmtId="0" fontId="6" fillId="10" borderId="15" xfId="40" applyFont="1" applyFill="1" applyBorder="1" applyAlignment="1">
      <alignment horizontal="center" wrapText="1"/>
    </xf>
    <xf numFmtId="165" fontId="5" fillId="10" borderId="43" xfId="2" applyFont="1" applyFill="1" applyBorder="1"/>
    <xf numFmtId="0" fontId="5" fillId="10" borderId="6" xfId="40" applyFont="1" applyFill="1" applyBorder="1"/>
    <xf numFmtId="165" fontId="5" fillId="10" borderId="45" xfId="40" applyNumberFormat="1" applyFont="1" applyFill="1" applyBorder="1"/>
    <xf numFmtId="173" fontId="5" fillId="10" borderId="5" xfId="40" applyNumberFormat="1" applyFont="1" applyFill="1" applyBorder="1"/>
    <xf numFmtId="0" fontId="60" fillId="0" borderId="24" xfId="0" applyFont="1" applyFill="1" applyBorder="1" applyAlignment="1">
      <alignment horizontal="right" vertical="top" wrapText="1"/>
    </xf>
    <xf numFmtId="0" fontId="60" fillId="0" borderId="53" xfId="0" applyFont="1" applyFill="1" applyBorder="1" applyAlignment="1">
      <alignment horizontal="center" vertical="top" wrapText="1"/>
    </xf>
    <xf numFmtId="165" fontId="60" fillId="0" borderId="58" xfId="2" applyFont="1" applyFill="1" applyBorder="1"/>
    <xf numFmtId="165" fontId="60" fillId="0" borderId="53" xfId="2" applyFont="1" applyFill="1" applyBorder="1"/>
    <xf numFmtId="165" fontId="60" fillId="0" borderId="41" xfId="2" applyFont="1" applyFill="1" applyBorder="1"/>
    <xf numFmtId="165" fontId="60" fillId="0" borderId="1" xfId="2" applyFont="1" applyFill="1" applyBorder="1"/>
    <xf numFmtId="0" fontId="55" fillId="0" borderId="1" xfId="0" applyFont="1" applyBorder="1">
      <alignment vertical="top"/>
    </xf>
    <xf numFmtId="2" fontId="55" fillId="0" borderId="1" xfId="0" applyNumberFormat="1" applyFont="1" applyBorder="1">
      <alignment vertical="top"/>
    </xf>
    <xf numFmtId="0" fontId="55" fillId="10" borderId="1" xfId="0" applyFont="1" applyFill="1" applyBorder="1">
      <alignment vertical="top"/>
    </xf>
    <xf numFmtId="2" fontId="55" fillId="10" borderId="1" xfId="0" applyNumberFormat="1" applyFont="1" applyFill="1" applyBorder="1">
      <alignment vertical="top"/>
    </xf>
    <xf numFmtId="0" fontId="60" fillId="0" borderId="0" xfId="40" applyFont="1" applyFill="1"/>
    <xf numFmtId="0" fontId="6" fillId="10" borderId="2" xfId="0" applyFont="1" applyFill="1" applyBorder="1" applyAlignment="1">
      <alignment horizontal="right" vertical="top" wrapText="1"/>
    </xf>
    <xf numFmtId="10" fontId="6" fillId="10" borderId="50" xfId="41" applyNumberFormat="1" applyFont="1" applyFill="1" applyBorder="1"/>
    <xf numFmtId="0" fontId="6" fillId="10" borderId="0" xfId="40" applyFont="1" applyFill="1" applyAlignment="1">
      <alignment wrapText="1"/>
    </xf>
    <xf numFmtId="0" fontId="0" fillId="24" borderId="1" xfId="0" applyFill="1" applyBorder="1">
      <alignment vertical="top"/>
    </xf>
    <xf numFmtId="2" fontId="0" fillId="24" borderId="1" xfId="0" applyNumberFormat="1" applyFill="1" applyBorder="1">
      <alignment vertical="top"/>
    </xf>
    <xf numFmtId="2" fontId="2" fillId="24" borderId="1" xfId="0" applyNumberFormat="1" applyFont="1" applyFill="1" applyBorder="1">
      <alignment vertical="top"/>
    </xf>
    <xf numFmtId="0" fontId="2" fillId="10" borderId="1" xfId="0" applyFont="1" applyFill="1" applyBorder="1" applyAlignment="1">
      <alignment horizontal="right" vertical="center"/>
    </xf>
    <xf numFmtId="0" fontId="5" fillId="18" borderId="1" xfId="40" applyFont="1" applyFill="1" applyBorder="1"/>
    <xf numFmtId="184" fontId="5" fillId="0" borderId="1" xfId="40" applyNumberFormat="1" applyFont="1" applyFill="1" applyBorder="1"/>
    <xf numFmtId="2" fontId="6" fillId="10" borderId="1" xfId="40" applyNumberFormat="1" applyFont="1" applyFill="1" applyBorder="1" applyAlignment="1">
      <alignment wrapText="1"/>
    </xf>
    <xf numFmtId="0" fontId="6" fillId="10" borderId="1" xfId="40" applyFont="1" applyFill="1" applyBorder="1" applyAlignment="1">
      <alignment wrapText="1"/>
    </xf>
    <xf numFmtId="0" fontId="6" fillId="11" borderId="1" xfId="40" applyFont="1" applyFill="1" applyBorder="1"/>
    <xf numFmtId="0" fontId="60" fillId="0" borderId="1" xfId="40" applyFont="1" applyFill="1" applyBorder="1"/>
    <xf numFmtId="0" fontId="5" fillId="18" borderId="1" xfId="40" applyFont="1" applyFill="1" applyBorder="1" applyAlignment="1">
      <alignment wrapText="1"/>
    </xf>
    <xf numFmtId="10" fontId="5" fillId="0" borderId="1" xfId="40" applyNumberFormat="1" applyFont="1" applyFill="1" applyBorder="1"/>
    <xf numFmtId="9" fontId="5" fillId="0" borderId="1" xfId="40" applyNumberFormat="1" applyFont="1" applyFill="1" applyBorder="1"/>
    <xf numFmtId="168" fontId="0" fillId="0" borderId="1" xfId="0" applyNumberFormat="1" applyBorder="1">
      <alignment vertical="top"/>
    </xf>
    <xf numFmtId="10" fontId="5" fillId="10" borderId="1" xfId="40" applyNumberFormat="1" applyFont="1" applyFill="1" applyBorder="1"/>
    <xf numFmtId="0" fontId="5" fillId="0" borderId="1" xfId="40" applyFont="1" applyFill="1" applyBorder="1" applyAlignment="1">
      <alignment wrapText="1"/>
    </xf>
    <xf numFmtId="0" fontId="5" fillId="10" borderId="1" xfId="40" applyFont="1" applyFill="1" applyBorder="1" applyAlignment="1">
      <alignment wrapText="1"/>
    </xf>
    <xf numFmtId="2" fontId="3" fillId="0" borderId="1" xfId="0" applyNumberFormat="1" applyFont="1" applyFill="1" applyBorder="1" applyAlignment="1"/>
    <xf numFmtId="0" fontId="14" fillId="0" borderId="0" xfId="0" applyFont="1" applyFill="1" applyAlignment="1"/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/>
    <xf numFmtId="0" fontId="78" fillId="0" borderId="0" xfId="0" applyFont="1" applyFill="1" applyAlignment="1"/>
    <xf numFmtId="0" fontId="14" fillId="0" borderId="12" xfId="0" applyFont="1" applyFill="1" applyBorder="1" applyAlignment="1"/>
    <xf numFmtId="165" fontId="14" fillId="0" borderId="5" xfId="0" applyNumberFormat="1" applyFont="1" applyFill="1" applyBorder="1" applyAlignment="1"/>
    <xf numFmtId="0" fontId="78" fillId="0" borderId="5" xfId="0" applyFont="1" applyFill="1" applyBorder="1" applyAlignment="1"/>
    <xf numFmtId="0" fontId="14" fillId="0" borderId="55" xfId="0" applyFont="1" applyFill="1" applyBorder="1" applyAlignment="1"/>
    <xf numFmtId="165" fontId="8" fillId="0" borderId="49" xfId="0" applyNumberFormat="1" applyFont="1" applyFill="1" applyBorder="1" applyAlignment="1"/>
    <xf numFmtId="0" fontId="14" fillId="0" borderId="45" xfId="0" applyFont="1" applyFill="1" applyBorder="1" applyAlignment="1"/>
    <xf numFmtId="0" fontId="14" fillId="0" borderId="32" xfId="0" applyFont="1" applyFill="1" applyBorder="1" applyAlignment="1"/>
    <xf numFmtId="0" fontId="14" fillId="0" borderId="14" xfId="0" applyFont="1" applyFill="1" applyBorder="1" applyAlignment="1"/>
    <xf numFmtId="0" fontId="14" fillId="0" borderId="2" xfId="0" applyFont="1" applyFill="1" applyBorder="1" applyAlignment="1"/>
    <xf numFmtId="165" fontId="14" fillId="0" borderId="6" xfId="0" applyNumberFormat="1" applyFont="1" applyFill="1" applyBorder="1" applyAlignment="1"/>
    <xf numFmtId="2" fontId="78" fillId="0" borderId="6" xfId="0" applyNumberFormat="1" applyFont="1" applyFill="1" applyBorder="1" applyAlignment="1"/>
    <xf numFmtId="0" fontId="14" fillId="0" borderId="6" xfId="0" applyFont="1" applyFill="1" applyBorder="1" applyAlignment="1"/>
    <xf numFmtId="0" fontId="14" fillId="0" borderId="3" xfId="0" applyFont="1" applyFill="1" applyBorder="1" applyAlignment="1"/>
    <xf numFmtId="0" fontId="14" fillId="0" borderId="16" xfId="0" applyFont="1" applyFill="1" applyBorder="1" applyAlignment="1"/>
    <xf numFmtId="165" fontId="8" fillId="0" borderId="23" xfId="0" applyNumberFormat="1" applyFont="1" applyFill="1" applyBorder="1" applyAlignment="1"/>
    <xf numFmtId="165" fontId="8" fillId="0" borderId="52" xfId="0" applyNumberFormat="1" applyFont="1" applyFill="1" applyBorder="1" applyAlignment="1"/>
    <xf numFmtId="0" fontId="14" fillId="0" borderId="5" xfId="0" applyFont="1" applyFill="1" applyBorder="1" applyAlignment="1"/>
    <xf numFmtId="2" fontId="14" fillId="0" borderId="5" xfId="0" applyNumberFormat="1" applyFont="1" applyFill="1" applyBorder="1" applyAlignment="1"/>
    <xf numFmtId="2" fontId="14" fillId="0" borderId="6" xfId="0" applyNumberFormat="1" applyFont="1" applyFill="1" applyBorder="1" applyAlignment="1"/>
    <xf numFmtId="0" fontId="14" fillId="0" borderId="23" xfId="0" applyFont="1" applyFill="1" applyBorder="1" applyAlignment="1"/>
    <xf numFmtId="2" fontId="3" fillId="0" borderId="12" xfId="0" applyNumberFormat="1" applyFont="1" applyBorder="1" applyAlignment="1"/>
    <xf numFmtId="2" fontId="2" fillId="0" borderId="57" xfId="0" applyNumberFormat="1" applyFont="1" applyFill="1" applyBorder="1" applyAlignment="1"/>
    <xf numFmtId="2" fontId="3" fillId="0" borderId="61" xfId="0" applyNumberFormat="1" applyFont="1" applyFill="1" applyBorder="1" applyAlignment="1"/>
    <xf numFmtId="2" fontId="2" fillId="0" borderId="15" xfId="0" applyNumberFormat="1" applyFont="1" applyFill="1" applyBorder="1" applyAlignment="1"/>
    <xf numFmtId="0" fontId="3" fillId="0" borderId="13" xfId="0" applyFont="1" applyFill="1" applyBorder="1" applyAlignment="1"/>
    <xf numFmtId="0" fontId="3" fillId="0" borderId="61" xfId="0" applyFont="1" applyFill="1" applyBorder="1" applyAlignment="1"/>
    <xf numFmtId="0" fontId="14" fillId="0" borderId="34" xfId="0" applyFont="1" applyBorder="1" applyAlignment="1">
      <alignment horizontal="center" vertical="center" wrapText="1"/>
    </xf>
    <xf numFmtId="0" fontId="14" fillId="0" borderId="7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74" xfId="0" applyFont="1" applyFill="1" applyBorder="1" applyAlignment="1">
      <alignment horizontal="center" vertical="center" wrapText="1"/>
    </xf>
    <xf numFmtId="186" fontId="14" fillId="0" borderId="0" xfId="0" applyNumberFormat="1" applyFont="1" applyAlignment="1">
      <alignment vertical="top"/>
    </xf>
    <xf numFmtId="0" fontId="1" fillId="0" borderId="0" xfId="0" applyFont="1" applyAlignment="1"/>
    <xf numFmtId="43" fontId="3" fillId="0" borderId="0" xfId="0" applyNumberFormat="1" applyFont="1" applyAlignment="1">
      <alignment vertical="center"/>
    </xf>
    <xf numFmtId="0" fontId="2" fillId="0" borderId="0" xfId="39" applyFont="1" applyAlignment="1">
      <alignment vertical="center"/>
    </xf>
    <xf numFmtId="0" fontId="2" fillId="3" borderId="0" xfId="39" applyFont="1" applyFill="1" applyBorder="1" applyAlignment="1">
      <alignment vertical="top"/>
    </xf>
    <xf numFmtId="0" fontId="2" fillId="4" borderId="0" xfId="39" applyFont="1" applyFill="1" applyBorder="1" applyAlignment="1">
      <alignment vertical="center"/>
    </xf>
    <xf numFmtId="0" fontId="1" fillId="4" borderId="0" xfId="39" applyFont="1" applyFill="1" applyBorder="1" applyAlignment="1">
      <alignment vertical="center"/>
    </xf>
    <xf numFmtId="0" fontId="1" fillId="0" borderId="0" xfId="39" applyFont="1" applyAlignment="1"/>
    <xf numFmtId="0" fontId="2" fillId="0" borderId="0" xfId="39" applyFont="1" applyAlignment="1"/>
    <xf numFmtId="168" fontId="1" fillId="0" borderId="0" xfId="39" applyNumberFormat="1" applyFont="1" applyAlignment="1">
      <alignment vertical="center"/>
    </xf>
    <xf numFmtId="0" fontId="2" fillId="7" borderId="2" xfId="39" applyFont="1" applyFill="1" applyBorder="1" applyAlignment="1">
      <alignment horizontal="center" vertical="center" wrapText="1"/>
    </xf>
    <xf numFmtId="0" fontId="2" fillId="7" borderId="1" xfId="39" applyFont="1" applyFill="1" applyBorder="1" applyAlignment="1">
      <alignment horizontal="center" vertical="center" wrapText="1"/>
    </xf>
    <xf numFmtId="0" fontId="2" fillId="7" borderId="6" xfId="39" applyFont="1" applyFill="1" applyBorder="1" applyAlignment="1">
      <alignment horizontal="center" vertical="center" wrapText="1"/>
    </xf>
    <xf numFmtId="0" fontId="1" fillId="0" borderId="38" xfId="39" applyFont="1" applyBorder="1" applyAlignment="1">
      <alignment horizontal="center" vertical="center" wrapText="1"/>
    </xf>
    <xf numFmtId="0" fontId="1" fillId="0" borderId="45" xfId="39" applyFont="1" applyBorder="1" applyAlignment="1">
      <alignment vertical="center"/>
    </xf>
    <xf numFmtId="0" fontId="75" fillId="0" borderId="1" xfId="39" applyFont="1" applyBorder="1" applyAlignment="1">
      <alignment vertical="center"/>
    </xf>
    <xf numFmtId="0" fontId="1" fillId="0" borderId="6" xfId="39" applyFont="1" applyBorder="1" applyAlignment="1">
      <alignment vertical="center"/>
    </xf>
    <xf numFmtId="0" fontId="1" fillId="0" borderId="2" xfId="39" applyFont="1" applyBorder="1" applyAlignment="1">
      <alignment vertical="center"/>
    </xf>
    <xf numFmtId="0" fontId="1" fillId="0" borderId="50" xfId="39" applyFont="1" applyBorder="1" applyAlignment="1">
      <alignment vertical="center"/>
    </xf>
    <xf numFmtId="0" fontId="2" fillId="0" borderId="8" xfId="39" applyFont="1" applyBorder="1" applyAlignment="1">
      <alignment horizontal="left" vertical="center" wrapText="1"/>
    </xf>
    <xf numFmtId="1" fontId="4" fillId="0" borderId="1" xfId="39" applyNumberFormat="1" applyFont="1" applyBorder="1" applyAlignment="1">
      <alignment vertical="center"/>
    </xf>
    <xf numFmtId="2" fontId="4" fillId="0" borderId="1" xfId="39" applyNumberFormat="1" applyFont="1" applyBorder="1" applyAlignment="1">
      <alignment vertical="center"/>
    </xf>
    <xf numFmtId="1" fontId="4" fillId="0" borderId="45" xfId="39" applyNumberFormat="1" applyFont="1" applyBorder="1" applyAlignment="1">
      <alignment vertical="center"/>
    </xf>
    <xf numFmtId="2" fontId="4" fillId="0" borderId="6" xfId="39" applyNumberFormat="1" applyFont="1" applyBorder="1" applyAlignment="1">
      <alignment vertical="center"/>
    </xf>
    <xf numFmtId="0" fontId="21" fillId="0" borderId="1" xfId="39" applyFont="1" applyBorder="1" applyAlignment="1">
      <alignment vertical="center"/>
    </xf>
    <xf numFmtId="2" fontId="21" fillId="0" borderId="1" xfId="39" applyNumberFormat="1" applyFont="1" applyBorder="1" applyAlignment="1">
      <alignment vertical="center"/>
    </xf>
    <xf numFmtId="1" fontId="2" fillId="0" borderId="45" xfId="39" applyNumberFormat="1" applyFont="1" applyBorder="1" applyAlignment="1">
      <alignment vertical="center"/>
    </xf>
    <xf numFmtId="0" fontId="2" fillId="0" borderId="1" xfId="39" applyFont="1" applyBorder="1" applyAlignment="1">
      <alignment vertical="center"/>
    </xf>
    <xf numFmtId="2" fontId="2" fillId="0" borderId="1" xfId="39" applyNumberFormat="1" applyFont="1" applyBorder="1" applyAlignment="1">
      <alignment vertical="center"/>
    </xf>
    <xf numFmtId="0" fontId="1" fillId="0" borderId="8" xfId="39" applyFont="1" applyBorder="1" applyAlignment="1">
      <alignment horizontal="left" vertical="center" wrapText="1"/>
    </xf>
    <xf numFmtId="0" fontId="19" fillId="0" borderId="5" xfId="39" applyFont="1" applyBorder="1" applyAlignment="1">
      <alignment vertical="top" wrapText="1"/>
    </xf>
    <xf numFmtId="0" fontId="2" fillId="0" borderId="22" xfId="39" applyFont="1" applyBorder="1" applyAlignment="1">
      <alignment horizontal="left" vertical="center" wrapText="1"/>
    </xf>
    <xf numFmtId="0" fontId="1" fillId="0" borderId="22" xfId="39" applyFont="1" applyBorder="1" applyAlignment="1">
      <alignment horizontal="left" vertical="center" wrapText="1"/>
    </xf>
    <xf numFmtId="0" fontId="4" fillId="0" borderId="10" xfId="39" applyFont="1" applyBorder="1" applyAlignment="1">
      <alignment vertical="center"/>
    </xf>
    <xf numFmtId="2" fontId="4" fillId="0" borderId="10" xfId="39" applyNumberFormat="1" applyFont="1" applyBorder="1" applyAlignment="1">
      <alignment vertical="center"/>
    </xf>
    <xf numFmtId="0" fontId="1" fillId="0" borderId="10" xfId="39" applyFont="1" applyBorder="1" applyAlignment="1">
      <alignment vertical="center"/>
    </xf>
    <xf numFmtId="0" fontId="1" fillId="0" borderId="7" xfId="39" applyFont="1" applyBorder="1" applyAlignment="1">
      <alignment horizontal="left" vertical="center" wrapText="1"/>
    </xf>
    <xf numFmtId="169" fontId="21" fillId="0" borderId="52" xfId="39" applyNumberFormat="1" applyFont="1" applyBorder="1" applyAlignment="1">
      <alignment vertical="center"/>
    </xf>
    <xf numFmtId="2" fontId="21" fillId="0" borderId="14" xfId="39" applyNumberFormat="1" applyFont="1" applyBorder="1" applyAlignment="1">
      <alignment vertical="center"/>
    </xf>
    <xf numFmtId="1" fontId="21" fillId="0" borderId="14" xfId="39" applyNumberFormat="1" applyFont="1" applyBorder="1" applyAlignment="1">
      <alignment vertical="center"/>
    </xf>
    <xf numFmtId="169" fontId="21" fillId="0" borderId="63" xfId="39" applyNumberFormat="1" applyFont="1" applyBorder="1" applyAlignment="1">
      <alignment vertical="center"/>
    </xf>
    <xf numFmtId="2" fontId="21" fillId="0" borderId="63" xfId="39" applyNumberFormat="1" applyFont="1" applyBorder="1" applyAlignment="1">
      <alignment vertical="center"/>
    </xf>
    <xf numFmtId="2" fontId="21" fillId="0" borderId="6" xfId="39" applyNumberFormat="1" applyFont="1" applyBorder="1" applyAlignment="1">
      <alignment vertical="center"/>
    </xf>
    <xf numFmtId="0" fontId="2" fillId="0" borderId="11" xfId="39" applyFont="1" applyBorder="1" applyAlignment="1">
      <alignment horizontal="left" vertical="center" wrapText="1"/>
    </xf>
    <xf numFmtId="2" fontId="4" fillId="0" borderId="12" xfId="39" applyNumberFormat="1" applyFont="1" applyBorder="1" applyAlignment="1">
      <alignment vertical="center"/>
    </xf>
    <xf numFmtId="0" fontId="1" fillId="0" borderId="11" xfId="39" applyFont="1" applyBorder="1" applyAlignment="1">
      <alignment horizontal="left" vertical="center" wrapText="1"/>
    </xf>
    <xf numFmtId="0" fontId="4" fillId="0" borderId="1" xfId="39" applyFont="1" applyBorder="1" applyAlignment="1">
      <alignment vertical="center"/>
    </xf>
    <xf numFmtId="0" fontId="1" fillId="15" borderId="8" xfId="39" applyFont="1" applyFill="1" applyBorder="1" applyAlignment="1">
      <alignment horizontal="left" vertical="center" wrapText="1"/>
    </xf>
    <xf numFmtId="1" fontId="21" fillId="0" borderId="24" xfId="39" applyNumberFormat="1" applyFont="1" applyBorder="1" applyAlignment="1">
      <alignment vertical="center"/>
    </xf>
    <xf numFmtId="169" fontId="21" fillId="0" borderId="9" xfId="39" applyNumberFormat="1" applyFont="1" applyBorder="1" applyAlignment="1">
      <alignment vertical="center"/>
    </xf>
    <xf numFmtId="2" fontId="21" fillId="0" borderId="9" xfId="39" applyNumberFormat="1" applyFont="1" applyBorder="1" applyAlignment="1">
      <alignment vertical="center"/>
    </xf>
    <xf numFmtId="2" fontId="21" fillId="0" borderId="53" xfId="39" applyNumberFormat="1" applyFont="1" applyBorder="1" applyAlignment="1">
      <alignment vertical="center"/>
    </xf>
    <xf numFmtId="1" fontId="21" fillId="0" borderId="23" xfId="39" applyNumberFormat="1" applyFont="1" applyBorder="1" applyAlignment="1">
      <alignment vertical="center"/>
    </xf>
    <xf numFmtId="2" fontId="21" fillId="0" borderId="52" xfId="39" applyNumberFormat="1" applyFont="1" applyBorder="1" applyAlignment="1">
      <alignment vertical="center"/>
    </xf>
    <xf numFmtId="0" fontId="1" fillId="0" borderId="21" xfId="39" applyFont="1" applyBorder="1" applyAlignment="1">
      <alignment horizontal="left" vertical="center" wrapText="1"/>
    </xf>
    <xf numFmtId="1" fontId="21" fillId="0" borderId="31" xfId="39" applyNumberFormat="1" applyFont="1" applyBorder="1" applyAlignment="1">
      <alignment vertical="center"/>
    </xf>
    <xf numFmtId="169" fontId="21" fillId="0" borderId="29" xfId="39" applyNumberFormat="1" applyFont="1" applyBorder="1" applyAlignment="1">
      <alignment vertical="center"/>
    </xf>
    <xf numFmtId="2" fontId="21" fillId="0" borderId="29" xfId="39" applyNumberFormat="1" applyFont="1" applyBorder="1" applyAlignment="1">
      <alignment vertical="center"/>
    </xf>
    <xf numFmtId="2" fontId="21" fillId="0" borderId="64" xfId="39" applyNumberFormat="1" applyFont="1" applyBorder="1" applyAlignment="1">
      <alignment vertical="center"/>
    </xf>
    <xf numFmtId="2" fontId="21" fillId="0" borderId="12" xfId="39" applyNumberFormat="1" applyFont="1" applyBorder="1" applyAlignment="1">
      <alignment vertical="center"/>
    </xf>
    <xf numFmtId="2" fontId="21" fillId="0" borderId="15" xfId="39" applyNumberFormat="1" applyFont="1" applyBorder="1" applyAlignment="1">
      <alignment vertical="center"/>
    </xf>
    <xf numFmtId="0" fontId="4" fillId="0" borderId="61" xfId="39" applyFont="1" applyBorder="1" applyAlignment="1">
      <alignment vertical="center"/>
    </xf>
    <xf numFmtId="0" fontId="4" fillId="0" borderId="12" xfId="39" applyFont="1" applyBorder="1" applyAlignment="1">
      <alignment vertical="center"/>
    </xf>
    <xf numFmtId="2" fontId="4" fillId="0" borderId="15" xfId="39" applyNumberFormat="1" applyFont="1" applyBorder="1" applyAlignment="1">
      <alignment vertical="center"/>
    </xf>
    <xf numFmtId="0" fontId="1" fillId="0" borderId="61" xfId="39" applyFont="1" applyBorder="1" applyAlignment="1">
      <alignment vertical="center"/>
    </xf>
    <xf numFmtId="0" fontId="1" fillId="0" borderId="12" xfId="39" applyFont="1" applyBorder="1" applyAlignment="1">
      <alignment vertical="center"/>
    </xf>
    <xf numFmtId="0" fontId="4" fillId="0" borderId="3" xfId="39" applyFont="1" applyBorder="1" applyAlignment="1">
      <alignment vertical="center"/>
    </xf>
    <xf numFmtId="169" fontId="4" fillId="0" borderId="10" xfId="39" applyNumberFormat="1" applyFont="1" applyBorder="1" applyAlignment="1">
      <alignment vertical="center"/>
    </xf>
    <xf numFmtId="2" fontId="4" fillId="0" borderId="16" xfId="39" applyNumberFormat="1" applyFont="1" applyBorder="1" applyAlignment="1">
      <alignment vertical="center"/>
    </xf>
    <xf numFmtId="1" fontId="1" fillId="0" borderId="3" xfId="39" applyNumberFormat="1" applyFont="1" applyBorder="1" applyAlignment="1">
      <alignment vertical="center"/>
    </xf>
    <xf numFmtId="169" fontId="1" fillId="0" borderId="10" xfId="39" applyNumberFormat="1" applyFont="1" applyBorder="1" applyAlignment="1">
      <alignment vertical="center"/>
    </xf>
    <xf numFmtId="2" fontId="1" fillId="0" borderId="10" xfId="39" applyNumberFormat="1" applyFont="1" applyBorder="1" applyAlignment="1">
      <alignment vertical="center"/>
    </xf>
    <xf numFmtId="0" fontId="1" fillId="0" borderId="3" xfId="39" applyFont="1" applyBorder="1" applyAlignment="1">
      <alignment vertical="center"/>
    </xf>
    <xf numFmtId="0" fontId="1" fillId="0" borderId="7" xfId="39" applyFont="1" applyBorder="1" applyAlignment="1">
      <alignment horizontal="center" vertical="center" wrapText="1"/>
    </xf>
    <xf numFmtId="0" fontId="1" fillId="0" borderId="11" xfId="39" applyFont="1" applyBorder="1" applyAlignment="1">
      <alignment horizontal="center" vertical="center" wrapText="1"/>
    </xf>
    <xf numFmtId="1" fontId="4" fillId="0" borderId="61" xfId="39" applyNumberFormat="1" applyFont="1" applyBorder="1" applyAlignment="1">
      <alignment vertical="center"/>
    </xf>
    <xf numFmtId="169" fontId="80" fillId="0" borderId="12" xfId="39" applyNumberFormat="1" applyFont="1" applyBorder="1" applyAlignment="1">
      <alignment vertical="center"/>
    </xf>
    <xf numFmtId="169" fontId="4" fillId="0" borderId="12" xfId="39" applyNumberFormat="1" applyFont="1" applyBorder="1" applyAlignment="1">
      <alignment vertical="center"/>
    </xf>
    <xf numFmtId="0" fontId="4" fillId="0" borderId="15" xfId="39" applyFont="1" applyBorder="1" applyAlignment="1">
      <alignment vertical="center"/>
    </xf>
    <xf numFmtId="0" fontId="1" fillId="0" borderId="15" xfId="39" applyFont="1" applyBorder="1" applyAlignment="1">
      <alignment vertical="center"/>
    </xf>
    <xf numFmtId="0" fontId="1" fillId="0" borderId="43" xfId="39" applyFont="1" applyBorder="1" applyAlignment="1">
      <alignment vertical="center"/>
    </xf>
    <xf numFmtId="169" fontId="1" fillId="0" borderId="12" xfId="39" applyNumberFormat="1" applyFont="1" applyBorder="1" applyAlignment="1">
      <alignment vertical="center"/>
    </xf>
    <xf numFmtId="2" fontId="1" fillId="0" borderId="43" xfId="39" applyNumberFormat="1" applyFont="1" applyBorder="1" applyAlignment="1">
      <alignment vertical="center"/>
    </xf>
    <xf numFmtId="1" fontId="1" fillId="0" borderId="43" xfId="39" applyNumberFormat="1" applyFont="1" applyBorder="1" applyAlignment="1">
      <alignment vertical="center"/>
    </xf>
    <xf numFmtId="187" fontId="1" fillId="0" borderId="12" xfId="39" applyNumberFormat="1" applyFont="1" applyBorder="1" applyAlignment="1">
      <alignment vertical="center"/>
    </xf>
    <xf numFmtId="0" fontId="1" fillId="0" borderId="8" xfId="39" applyFont="1" applyBorder="1" applyAlignment="1">
      <alignment horizontal="center" vertical="center" wrapText="1"/>
    </xf>
    <xf numFmtId="0" fontId="4" fillId="0" borderId="2" xfId="39" applyFont="1" applyBorder="1" applyAlignment="1">
      <alignment vertical="center"/>
    </xf>
    <xf numFmtId="0" fontId="80" fillId="0" borderId="1" xfId="39" applyFont="1" applyBorder="1" applyAlignment="1">
      <alignment vertical="center"/>
    </xf>
    <xf numFmtId="0" fontId="4" fillId="0" borderId="6" xfId="39" applyFont="1" applyBorder="1" applyAlignment="1">
      <alignment vertical="center"/>
    </xf>
    <xf numFmtId="1" fontId="2" fillId="0" borderId="50" xfId="39" applyNumberFormat="1" applyFont="1" applyBorder="1" applyAlignment="1">
      <alignment vertical="center"/>
    </xf>
    <xf numFmtId="0" fontId="1" fillId="0" borderId="8" xfId="39" applyFont="1" applyBorder="1" applyAlignment="1">
      <alignment vertical="center"/>
    </xf>
    <xf numFmtId="0" fontId="1" fillId="0" borderId="48" xfId="39" applyFont="1" applyBorder="1" applyAlignment="1">
      <alignment vertical="center"/>
    </xf>
    <xf numFmtId="0" fontId="46" fillId="0" borderId="2" xfId="39" applyFont="1" applyBorder="1" applyAlignment="1">
      <alignment vertical="center"/>
    </xf>
    <xf numFmtId="0" fontId="46" fillId="0" borderId="6" xfId="39" applyFont="1" applyBorder="1" applyAlignment="1">
      <alignment vertical="center"/>
    </xf>
    <xf numFmtId="0" fontId="15" fillId="0" borderId="2" xfId="39" applyFont="1" applyBorder="1" applyAlignment="1">
      <alignment vertical="center"/>
    </xf>
    <xf numFmtId="0" fontId="15" fillId="0" borderId="6" xfId="39" applyFont="1" applyBorder="1" applyAlignment="1">
      <alignment vertical="center"/>
    </xf>
    <xf numFmtId="0" fontId="15" fillId="0" borderId="0" xfId="39" applyFont="1" applyAlignment="1">
      <alignment vertical="center"/>
    </xf>
    <xf numFmtId="0" fontId="1" fillId="0" borderId="8" xfId="39" applyFont="1" applyBorder="1" applyAlignment="1">
      <alignment horizontal="center" vertical="center"/>
    </xf>
    <xf numFmtId="170" fontId="21" fillId="0" borderId="1" xfId="12" applyNumberFormat="1" applyFont="1" applyBorder="1" applyAlignment="1">
      <alignment horizontal="right" vertical="center" wrapText="1"/>
    </xf>
    <xf numFmtId="170" fontId="2" fillId="0" borderId="1" xfId="12" applyNumberFormat="1" applyFont="1" applyBorder="1" applyAlignment="1">
      <alignment horizontal="right" vertical="center" wrapText="1"/>
    </xf>
    <xf numFmtId="2" fontId="2" fillId="0" borderId="50" xfId="39" applyNumberFormat="1" applyFont="1" applyBorder="1" applyAlignment="1">
      <alignment vertical="center"/>
    </xf>
    <xf numFmtId="2" fontId="1" fillId="0" borderId="50" xfId="39" applyNumberFormat="1" applyFont="1" applyBorder="1" applyAlignment="1">
      <alignment vertical="center"/>
    </xf>
    <xf numFmtId="0" fontId="1" fillId="0" borderId="22" xfId="39" applyFont="1" applyBorder="1" applyAlignment="1">
      <alignment vertical="center"/>
    </xf>
    <xf numFmtId="0" fontId="4" fillId="0" borderId="16" xfId="39" applyFont="1" applyBorder="1" applyAlignment="1">
      <alignment vertical="center"/>
    </xf>
    <xf numFmtId="0" fontId="1" fillId="0" borderId="16" xfId="39" applyFont="1" applyBorder="1" applyAlignment="1">
      <alignment vertical="center"/>
    </xf>
    <xf numFmtId="0" fontId="1" fillId="0" borderId="44" xfId="39" applyFont="1" applyBorder="1" applyAlignment="1">
      <alignment vertical="center"/>
    </xf>
    <xf numFmtId="0" fontId="1" fillId="0" borderId="7" xfId="39" applyFont="1" applyBorder="1" applyAlignment="1">
      <alignment vertical="center"/>
    </xf>
    <xf numFmtId="0" fontId="4" fillId="0" borderId="23" xfId="39" applyFont="1" applyBorder="1" applyAlignment="1">
      <alignment vertical="center"/>
    </xf>
    <xf numFmtId="0" fontId="80" fillId="0" borderId="63" xfId="39" applyFont="1" applyBorder="1" applyAlignment="1">
      <alignment vertical="center"/>
    </xf>
    <xf numFmtId="0" fontId="4" fillId="0" borderId="52" xfId="39" applyFont="1" applyBorder="1" applyAlignment="1">
      <alignment vertical="center"/>
    </xf>
    <xf numFmtId="0" fontId="1" fillId="0" borderId="23" xfId="39" applyFont="1" applyBorder="1" applyAlignment="1">
      <alignment vertical="center"/>
    </xf>
    <xf numFmtId="0" fontId="1" fillId="0" borderId="63" xfId="39" applyFont="1" applyBorder="1" applyAlignment="1">
      <alignment vertical="center"/>
    </xf>
    <xf numFmtId="2" fontId="2" fillId="0" borderId="63" xfId="39" applyNumberFormat="1" applyFont="1" applyBorder="1" applyAlignment="1">
      <alignment vertical="center"/>
    </xf>
    <xf numFmtId="0" fontId="1" fillId="0" borderId="52" xfId="39" applyFont="1" applyBorder="1" applyAlignment="1">
      <alignment vertical="center"/>
    </xf>
    <xf numFmtId="0" fontId="1" fillId="0" borderId="51" xfId="39" applyFont="1" applyBorder="1" applyAlignment="1">
      <alignment vertical="center"/>
    </xf>
    <xf numFmtId="2" fontId="1" fillId="0" borderId="1" xfId="40" applyNumberFormat="1" applyFont="1" applyBorder="1"/>
    <xf numFmtId="2" fontId="1" fillId="10" borderId="1" xfId="40" applyNumberFormat="1" applyFont="1" applyFill="1" applyBorder="1"/>
    <xf numFmtId="0" fontId="1" fillId="0" borderId="1" xfId="39" applyFont="1" applyBorder="1" applyAlignment="1">
      <alignment vertical="center"/>
    </xf>
    <xf numFmtId="0" fontId="1" fillId="0" borderId="0" xfId="39" applyFont="1" applyBorder="1" applyAlignment="1">
      <alignment vertical="center"/>
    </xf>
    <xf numFmtId="0" fontId="1" fillId="0" borderId="0" xfId="39" applyFont="1" applyAlignment="1">
      <alignment vertical="center"/>
    </xf>
    <xf numFmtId="1" fontId="1" fillId="0" borderId="14" xfId="39" applyNumberFormat="1" applyFont="1" applyBorder="1" applyAlignment="1">
      <alignment vertical="center"/>
    </xf>
    <xf numFmtId="0" fontId="1" fillId="0" borderId="27" xfId="39" applyFont="1" applyBorder="1" applyAlignment="1">
      <alignment vertical="center"/>
    </xf>
    <xf numFmtId="1" fontId="1" fillId="0" borderId="32" xfId="39" applyNumberFormat="1" applyFont="1" applyBorder="1" applyAlignment="1">
      <alignment vertical="center"/>
    </xf>
    <xf numFmtId="1" fontId="1" fillId="0" borderId="45" xfId="39" applyNumberFormat="1" applyFont="1" applyBorder="1" applyAlignment="1">
      <alignment vertical="center"/>
    </xf>
    <xf numFmtId="1" fontId="15" fillId="0" borderId="45" xfId="39" applyNumberFormat="1" applyFont="1" applyBorder="1" applyAlignment="1">
      <alignment vertical="center"/>
    </xf>
    <xf numFmtId="1" fontId="1" fillId="0" borderId="13" xfId="39" applyNumberFormat="1" applyFont="1" applyBorder="1" applyAlignment="1">
      <alignment vertical="center"/>
    </xf>
    <xf numFmtId="0" fontId="1" fillId="0" borderId="70" xfId="39" applyFont="1" applyBorder="1" applyAlignment="1">
      <alignment vertical="center"/>
    </xf>
    <xf numFmtId="2" fontId="21" fillId="0" borderId="48" xfId="39" applyNumberFormat="1" applyFont="1" applyBorder="1" applyAlignment="1">
      <alignment vertical="center"/>
    </xf>
    <xf numFmtId="2" fontId="4" fillId="0" borderId="48" xfId="39" applyNumberFormat="1" applyFont="1" applyBorder="1" applyAlignment="1">
      <alignment vertical="center"/>
    </xf>
    <xf numFmtId="1" fontId="21" fillId="0" borderId="28" xfId="39" applyNumberFormat="1" applyFont="1" applyBorder="1" applyAlignment="1">
      <alignment vertical="center"/>
    </xf>
    <xf numFmtId="0" fontId="2" fillId="7" borderId="45" xfId="39" applyFont="1" applyFill="1" applyBorder="1" applyAlignment="1">
      <alignment horizontal="center" vertical="center" wrapText="1"/>
    </xf>
    <xf numFmtId="0" fontId="3" fillId="10" borderId="1" xfId="35" applyFont="1" applyFill="1" applyBorder="1" applyAlignment="1">
      <alignment vertical="center"/>
    </xf>
    <xf numFmtId="2" fontId="3" fillId="10" borderId="5" xfId="35" applyNumberFormat="1" applyFont="1" applyFill="1" applyBorder="1" applyAlignment="1">
      <alignment vertical="center"/>
    </xf>
    <xf numFmtId="0" fontId="3" fillId="10" borderId="0" xfId="35" applyFont="1" applyFill="1" applyAlignment="1">
      <alignment vertical="center"/>
    </xf>
    <xf numFmtId="1" fontId="3" fillId="10" borderId="1" xfId="35" applyNumberFormat="1" applyFont="1" applyFill="1" applyBorder="1" applyAlignment="1">
      <alignment vertical="center"/>
    </xf>
    <xf numFmtId="43" fontId="3" fillId="0" borderId="0" xfId="0" applyNumberFormat="1" applyFont="1" applyAlignment="1"/>
    <xf numFmtId="0" fontId="55" fillId="0" borderId="0" xfId="25" applyFont="1" applyAlignment="1"/>
    <xf numFmtId="0" fontId="67" fillId="0" borderId="0" xfId="25"/>
    <xf numFmtId="0" fontId="38" fillId="0" borderId="1" xfId="25" applyFont="1" applyBorder="1" applyAlignment="1">
      <alignment horizontal="center" vertical="center" wrapText="1"/>
    </xf>
    <xf numFmtId="0" fontId="57" fillId="0" borderId="1" xfId="25" applyFont="1" applyBorder="1" applyAlignment="1">
      <alignment horizontal="center" vertical="center" wrapText="1"/>
    </xf>
    <xf numFmtId="2" fontId="57" fillId="0" borderId="1" xfId="25" applyNumberFormat="1" applyFont="1" applyBorder="1" applyAlignment="1">
      <alignment horizontal="center" vertical="center" wrapText="1"/>
    </xf>
    <xf numFmtId="2" fontId="38" fillId="0" borderId="1" xfId="25" applyNumberFormat="1" applyFont="1" applyBorder="1" applyAlignment="1">
      <alignment horizontal="center" vertical="center" wrapText="1"/>
    </xf>
    <xf numFmtId="2" fontId="57" fillId="10" borderId="1" xfId="25" applyNumberFormat="1" applyFont="1" applyFill="1" applyBorder="1" applyAlignment="1">
      <alignment horizontal="center" vertical="center" wrapText="1"/>
    </xf>
    <xf numFmtId="2" fontId="38" fillId="0" borderId="0" xfId="25" applyNumberFormat="1" applyFont="1" applyFill="1" applyBorder="1" applyAlignment="1">
      <alignment horizontal="center" vertical="center" wrapText="1"/>
    </xf>
    <xf numFmtId="2" fontId="67" fillId="0" borderId="0" xfId="25" applyNumberFormat="1"/>
    <xf numFmtId="4" fontId="57" fillId="0" borderId="1" xfId="25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0" xfId="39" applyNumberFormat="1" applyFont="1" applyAlignment="1">
      <alignment vertical="center"/>
    </xf>
    <xf numFmtId="0" fontId="67" fillId="0" borderId="0" xfId="26"/>
    <xf numFmtId="0" fontId="68" fillId="10" borderId="0" xfId="26" applyFont="1" applyFill="1" applyBorder="1"/>
    <xf numFmtId="2" fontId="68" fillId="10" borderId="0" xfId="26" applyNumberFormat="1" applyFont="1" applyFill="1" applyBorder="1"/>
    <xf numFmtId="2" fontId="67" fillId="0" borderId="0" xfId="26" applyNumberFormat="1"/>
    <xf numFmtId="9" fontId="1" fillId="0" borderId="0" xfId="39" applyNumberFormat="1" applyFont="1" applyAlignment="1">
      <alignment vertical="center"/>
    </xf>
    <xf numFmtId="1" fontId="1" fillId="0" borderId="0" xfId="39" applyNumberFormat="1" applyFont="1" applyAlignment="1">
      <alignment vertical="center"/>
    </xf>
    <xf numFmtId="0" fontId="2" fillId="18" borderId="1" xfId="0" applyFont="1" applyFill="1" applyBorder="1">
      <alignment vertical="top"/>
    </xf>
    <xf numFmtId="165" fontId="5" fillId="0" borderId="1" xfId="40" applyNumberFormat="1" applyFont="1" applyFill="1" applyBorder="1" applyAlignment="1">
      <alignment horizontal="center"/>
    </xf>
    <xf numFmtId="0" fontId="67" fillId="0" borderId="5" xfId="23" applyBorder="1"/>
    <xf numFmtId="0" fontId="71" fillId="0" borderId="1" xfId="23" applyFont="1" applyBorder="1" applyAlignment="1">
      <alignment horizontal="center" vertical="center"/>
    </xf>
    <xf numFmtId="0" fontId="71" fillId="0" borderId="10" xfId="23" applyFont="1" applyBorder="1" applyAlignment="1">
      <alignment horizontal="center" vertical="center"/>
    </xf>
    <xf numFmtId="0" fontId="67" fillId="0" borderId="0" xfId="23"/>
    <xf numFmtId="0" fontId="58" fillId="19" borderId="84" xfId="23" applyFont="1" applyFill="1" applyBorder="1" applyAlignment="1">
      <alignment horizontal="center" vertical="center" wrapText="1"/>
    </xf>
    <xf numFmtId="0" fontId="71" fillId="0" borderId="1" xfId="23" applyFont="1" applyBorder="1" applyAlignment="1">
      <alignment horizontal="center" vertical="center" wrapText="1"/>
    </xf>
    <xf numFmtId="0" fontId="71" fillId="0" borderId="1" xfId="23" applyFont="1" applyFill="1" applyBorder="1" applyAlignment="1">
      <alignment horizontal="center" vertical="center" wrapText="1"/>
    </xf>
    <xf numFmtId="0" fontId="20" fillId="0" borderId="81" xfId="23" applyFont="1" applyFill="1" applyBorder="1" applyAlignment="1">
      <alignment horizontal="left" vertical="top" wrapText="1" indent="1"/>
    </xf>
    <xf numFmtId="0" fontId="67" fillId="0" borderId="1" xfId="23" applyBorder="1"/>
    <xf numFmtId="0" fontId="67" fillId="0" borderId="12" xfId="23" applyBorder="1"/>
    <xf numFmtId="0" fontId="20" fillId="0" borderId="81" xfId="23" applyFont="1" applyFill="1" applyBorder="1" applyAlignment="1">
      <alignment horizontal="left" vertical="top" wrapText="1"/>
    </xf>
    <xf numFmtId="2" fontId="67" fillId="0" borderId="1" xfId="23" applyNumberFormat="1" applyBorder="1"/>
    <xf numFmtId="168" fontId="67" fillId="0" borderId="1" xfId="23" applyNumberFormat="1" applyBorder="1"/>
    <xf numFmtId="0" fontId="56" fillId="0" borderId="81" xfId="23" applyFont="1" applyFill="1" applyBorder="1" applyAlignment="1">
      <alignment horizontal="left" vertical="top" wrapText="1"/>
    </xf>
    <xf numFmtId="0" fontId="71" fillId="0" borderId="1" xfId="23" applyFont="1" applyBorder="1"/>
    <xf numFmtId="2" fontId="71" fillId="0" borderId="1" xfId="23" applyNumberFormat="1" applyFont="1" applyBorder="1"/>
    <xf numFmtId="168" fontId="71" fillId="0" borderId="1" xfId="23" applyNumberFormat="1" applyFont="1" applyBorder="1"/>
    <xf numFmtId="0" fontId="90" fillId="0" borderId="81" xfId="23" applyFont="1" applyFill="1" applyBorder="1" applyAlignment="1">
      <alignment horizontal="left" vertical="top" wrapText="1"/>
    </xf>
    <xf numFmtId="2" fontId="67" fillId="13" borderId="1" xfId="23" applyNumberFormat="1" applyFill="1" applyBorder="1"/>
    <xf numFmtId="0" fontId="67" fillId="13" borderId="1" xfId="23" applyFill="1" applyBorder="1"/>
    <xf numFmtId="2" fontId="67" fillId="10" borderId="1" xfId="23" applyNumberFormat="1" applyFill="1" applyBorder="1"/>
    <xf numFmtId="0" fontId="20" fillId="0" borderId="81" xfId="23" applyFont="1" applyFill="1" applyBorder="1" applyAlignment="1">
      <alignment horizontal="left" vertical="center" wrapText="1"/>
    </xf>
    <xf numFmtId="0" fontId="67" fillId="0" borderId="1" xfId="23" applyFont="1" applyBorder="1"/>
    <xf numFmtId="2" fontId="67" fillId="0" borderId="1" xfId="23" applyNumberFormat="1" applyFont="1" applyBorder="1"/>
    <xf numFmtId="2" fontId="71" fillId="13" borderId="1" xfId="23" applyNumberFormat="1" applyFont="1" applyFill="1" applyBorder="1"/>
    <xf numFmtId="2" fontId="67" fillId="0" borderId="0" xfId="23" applyNumberFormat="1"/>
    <xf numFmtId="0" fontId="3" fillId="10" borderId="1" xfId="0" applyFont="1" applyFill="1" applyBorder="1" applyAlignment="1"/>
    <xf numFmtId="2" fontId="3" fillId="10" borderId="1" xfId="0" applyNumberFormat="1" applyFont="1" applyFill="1" applyBorder="1" applyAlignment="1"/>
    <xf numFmtId="2" fontId="2" fillId="10" borderId="1" xfId="0" applyNumberFormat="1" applyFont="1" applyFill="1" applyBorder="1" applyAlignment="1"/>
    <xf numFmtId="2" fontId="3" fillId="10" borderId="0" xfId="0" applyNumberFormat="1" applyFont="1" applyFill="1" applyAlignment="1"/>
    <xf numFmtId="0" fontId="75" fillId="10" borderId="0" xfId="0" applyFont="1" applyFill="1" applyAlignment="1"/>
    <xf numFmtId="2" fontId="75" fillId="10" borderId="1" xfId="0" applyNumberFormat="1" applyFont="1" applyFill="1" applyBorder="1" applyAlignment="1"/>
    <xf numFmtId="0" fontId="3" fillId="10" borderId="0" xfId="0" applyFont="1" applyFill="1">
      <alignment vertical="top"/>
    </xf>
    <xf numFmtId="0" fontId="3" fillId="10" borderId="0" xfId="0" applyFont="1" applyFill="1" applyBorder="1" applyAlignment="1"/>
    <xf numFmtId="0" fontId="3" fillId="10" borderId="1" xfId="0" applyFont="1" applyFill="1" applyBorder="1">
      <alignment vertical="top"/>
    </xf>
    <xf numFmtId="2" fontId="3" fillId="10" borderId="1" xfId="0" applyNumberFormat="1" applyFont="1" applyFill="1" applyBorder="1">
      <alignment vertical="top"/>
    </xf>
    <xf numFmtId="2" fontId="3" fillId="10" borderId="0" xfId="0" applyNumberFormat="1" applyFont="1" applyFill="1">
      <alignment vertical="top"/>
    </xf>
    <xf numFmtId="0" fontId="4" fillId="10" borderId="0" xfId="0" applyFont="1" applyFill="1" applyBorder="1" applyAlignment="1"/>
    <xf numFmtId="0" fontId="76" fillId="10" borderId="1" xfId="0" applyFont="1" applyFill="1" applyBorder="1" applyAlignment="1">
      <alignment vertical="top" wrapText="1"/>
    </xf>
    <xf numFmtId="0" fontId="3" fillId="10" borderId="1" xfId="0" applyFont="1" applyFill="1" applyBorder="1" applyAlignment="1">
      <alignment horizontal="center" vertical="top" wrapText="1"/>
    </xf>
    <xf numFmtId="1" fontId="3" fillId="10" borderId="1" xfId="0" applyNumberFormat="1" applyFont="1" applyFill="1" applyBorder="1" applyAlignment="1">
      <alignment vertical="center" wrapText="1"/>
    </xf>
    <xf numFmtId="2" fontId="3" fillId="10" borderId="1" xfId="0" applyNumberFormat="1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1" fontId="88" fillId="10" borderId="1" xfId="0" applyNumberFormat="1" applyFont="1" applyFill="1" applyBorder="1" applyAlignment="1">
      <alignment vertical="center" wrapText="1"/>
    </xf>
    <xf numFmtId="1" fontId="4" fillId="10" borderId="0" xfId="0" applyNumberFormat="1" applyFont="1" applyFill="1" applyBorder="1" applyAlignment="1"/>
    <xf numFmtId="0" fontId="1" fillId="10" borderId="1" xfId="0" applyFont="1" applyFill="1" applyBorder="1" applyAlignment="1">
      <alignment horizontal="center" vertical="top" wrapText="1"/>
    </xf>
    <xf numFmtId="0" fontId="3" fillId="10" borderId="0" xfId="0" applyFont="1" applyFill="1" applyAlignment="1">
      <alignment vertical="center"/>
    </xf>
    <xf numFmtId="2" fontId="3" fillId="10" borderId="1" xfId="0" applyNumberFormat="1" applyFont="1" applyFill="1" applyBorder="1" applyAlignment="1">
      <alignment vertical="center"/>
    </xf>
    <xf numFmtId="2" fontId="3" fillId="10" borderId="10" xfId="0" applyNumberFormat="1" applyFont="1" applyFill="1" applyBorder="1" applyAlignment="1">
      <alignment vertical="center"/>
    </xf>
    <xf numFmtId="2" fontId="2" fillId="10" borderId="63" xfId="0" applyNumberFormat="1" applyFont="1" applyFill="1" applyBorder="1" applyAlignment="1">
      <alignment vertical="center" wrapText="1"/>
    </xf>
    <xf numFmtId="0" fontId="3" fillId="10" borderId="12" xfId="0" applyFont="1" applyFill="1" applyBorder="1" applyAlignment="1">
      <alignment vertical="center"/>
    </xf>
    <xf numFmtId="2" fontId="3" fillId="10" borderId="12" xfId="0" applyNumberFormat="1" applyFont="1" applyFill="1" applyBorder="1" applyAlignment="1">
      <alignment vertical="center"/>
    </xf>
    <xf numFmtId="2" fontId="2" fillId="10" borderId="63" xfId="0" applyNumberFormat="1" applyFont="1" applyFill="1" applyBorder="1" applyAlignment="1">
      <alignment vertical="center"/>
    </xf>
    <xf numFmtId="2" fontId="3" fillId="10" borderId="0" xfId="0" applyNumberFormat="1" applyFont="1" applyFill="1" applyAlignment="1">
      <alignment vertical="center"/>
    </xf>
    <xf numFmtId="2" fontId="75" fillId="10" borderId="0" xfId="0" applyNumberFormat="1" applyFont="1" applyFill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10" borderId="43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vertical="center"/>
    </xf>
    <xf numFmtId="0" fontId="3" fillId="0" borderId="12" xfId="0" applyFont="1" applyBorder="1" applyAlignment="1">
      <alignment vertical="top"/>
    </xf>
    <xf numFmtId="165" fontId="3" fillId="0" borderId="12" xfId="2" applyFont="1" applyBorder="1" applyAlignment="1"/>
    <xf numFmtId="2" fontId="0" fillId="0" borderId="12" xfId="0" applyNumberFormat="1" applyBorder="1">
      <alignment vertical="top"/>
    </xf>
    <xf numFmtId="2" fontId="3" fillId="10" borderId="12" xfId="0" applyNumberFormat="1" applyFont="1" applyFill="1" applyBorder="1">
      <alignment vertical="top"/>
    </xf>
    <xf numFmtId="0" fontId="2" fillId="0" borderId="1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0" borderId="63" xfId="0" applyFont="1" applyBorder="1">
      <alignment vertical="top"/>
    </xf>
    <xf numFmtId="0" fontId="2" fillId="10" borderId="63" xfId="0" applyFont="1" applyFill="1" applyBorder="1">
      <alignment vertical="top"/>
    </xf>
    <xf numFmtId="0" fontId="2" fillId="10" borderId="52" xfId="0" applyFont="1" applyFill="1" applyBorder="1">
      <alignment vertical="top"/>
    </xf>
    <xf numFmtId="2" fontId="3" fillId="10" borderId="29" xfId="0" applyNumberFormat="1" applyFont="1" applyFill="1" applyBorder="1" applyAlignment="1">
      <alignment vertical="center"/>
    </xf>
    <xf numFmtId="2" fontId="3" fillId="10" borderId="72" xfId="0" applyNumberFormat="1" applyFont="1" applyFill="1" applyBorder="1" applyAlignment="1">
      <alignment vertical="center"/>
    </xf>
    <xf numFmtId="0" fontId="1" fillId="0" borderId="5" xfId="40" applyBorder="1"/>
    <xf numFmtId="2" fontId="1" fillId="0" borderId="5" xfId="40" applyNumberFormat="1" applyBorder="1"/>
    <xf numFmtId="2" fontId="2" fillId="0" borderId="5" xfId="40" applyNumberFormat="1" applyFont="1" applyBorder="1"/>
    <xf numFmtId="0" fontId="16" fillId="0" borderId="1" xfId="0" applyFont="1" applyBorder="1" applyAlignment="1"/>
    <xf numFmtId="2" fontId="75" fillId="24" borderId="1" xfId="0" applyNumberFormat="1" applyFont="1" applyFill="1" applyBorder="1">
      <alignment vertical="top"/>
    </xf>
    <xf numFmtId="9" fontId="5" fillId="10" borderId="1" xfId="41" applyFont="1" applyFill="1" applyBorder="1"/>
    <xf numFmtId="10" fontId="5" fillId="10" borderId="1" xfId="41" applyNumberFormat="1" applyFont="1" applyFill="1" applyBorder="1"/>
    <xf numFmtId="10" fontId="5" fillId="0" borderId="1" xfId="41" applyNumberFormat="1" applyFont="1" applyFill="1" applyBorder="1"/>
    <xf numFmtId="2" fontId="1" fillId="24" borderId="1" xfId="0" applyNumberFormat="1" applyFont="1" applyFill="1" applyBorder="1">
      <alignment vertical="top"/>
    </xf>
    <xf numFmtId="0" fontId="1" fillId="24" borderId="1" xfId="0" applyFont="1" applyFill="1" applyBorder="1">
      <alignment vertical="top"/>
    </xf>
    <xf numFmtId="2" fontId="2" fillId="20" borderId="1" xfId="0" applyNumberFormat="1" applyFont="1" applyFill="1" applyBorder="1">
      <alignment vertical="top"/>
    </xf>
    <xf numFmtId="0" fontId="1" fillId="18" borderId="1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165" fontId="14" fillId="0" borderId="38" xfId="0" applyNumberFormat="1" applyFont="1" applyBorder="1" applyAlignment="1"/>
    <xf numFmtId="165" fontId="3" fillId="0" borderId="38" xfId="0" applyNumberFormat="1" applyFont="1" applyBorder="1" applyAlignment="1">
      <alignment vertical="center" wrapText="1"/>
    </xf>
    <xf numFmtId="2" fontId="14" fillId="0" borderId="38" xfId="0" applyNumberFormat="1" applyFont="1" applyBorder="1" applyAlignment="1"/>
    <xf numFmtId="165" fontId="14" fillId="0" borderId="8" xfId="0" applyNumberFormat="1" applyFont="1" applyBorder="1" applyAlignment="1"/>
    <xf numFmtId="165" fontId="3" fillId="0" borderId="8" xfId="0" applyNumberFormat="1" applyFont="1" applyBorder="1" applyAlignment="1">
      <alignment vertical="center" wrapText="1"/>
    </xf>
    <xf numFmtId="2" fontId="14" fillId="0" borderId="8" xfId="0" applyNumberFormat="1" applyFont="1" applyBorder="1" applyAlignment="1">
      <alignment wrapText="1"/>
    </xf>
    <xf numFmtId="165" fontId="8" fillId="0" borderId="39" xfId="0" applyNumberFormat="1" applyFont="1" applyBorder="1" applyAlignment="1"/>
    <xf numFmtId="0" fontId="2" fillId="2" borderId="38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196" fontId="14" fillId="0" borderId="0" xfId="0" applyNumberFormat="1" applyFont="1" applyAlignment="1"/>
    <xf numFmtId="0" fontId="1" fillId="10" borderId="1" xfId="0" applyFont="1" applyFill="1" applyBorder="1" applyAlignment="1"/>
    <xf numFmtId="2" fontId="1" fillId="10" borderId="1" xfId="0" applyNumberFormat="1" applyFont="1" applyFill="1" applyBorder="1" applyAlignment="1"/>
    <xf numFmtId="0" fontId="14" fillId="10" borderId="0" xfId="0" applyFont="1" applyFill="1" applyAlignment="1">
      <alignment vertical="center"/>
    </xf>
    <xf numFmtId="2" fontId="14" fillId="10" borderId="1" xfId="0" applyNumberFormat="1" applyFont="1" applyFill="1" applyBorder="1" applyAlignment="1">
      <alignment vertical="center"/>
    </xf>
    <xf numFmtId="165" fontId="14" fillId="10" borderId="1" xfId="0" applyNumberFormat="1" applyFont="1" applyFill="1" applyBorder="1" applyAlignment="1">
      <alignment vertical="center"/>
    </xf>
    <xf numFmtId="165" fontId="3" fillId="10" borderId="1" xfId="2" applyFont="1" applyFill="1" applyBorder="1" applyAlignment="1">
      <alignment vertical="center" wrapText="1"/>
    </xf>
    <xf numFmtId="4" fontId="3" fillId="10" borderId="1" xfId="2" applyNumberFormat="1" applyFont="1" applyFill="1" applyBorder="1" applyAlignment="1">
      <alignment vertical="center" wrapText="1"/>
    </xf>
    <xf numFmtId="0" fontId="14" fillId="10" borderId="1" xfId="0" applyFont="1" applyFill="1" applyBorder="1" applyAlignment="1">
      <alignment vertical="center"/>
    </xf>
    <xf numFmtId="167" fontId="14" fillId="10" borderId="1" xfId="0" applyNumberFormat="1" applyFont="1" applyFill="1" applyBorder="1" applyAlignment="1">
      <alignment vertical="center"/>
    </xf>
    <xf numFmtId="4" fontId="14" fillId="10" borderId="1" xfId="0" applyNumberFormat="1" applyFont="1" applyFill="1" applyBorder="1" applyAlignment="1">
      <alignment vertical="center"/>
    </xf>
    <xf numFmtId="4" fontId="2" fillId="10" borderId="1" xfId="2" applyNumberFormat="1" applyFont="1" applyFill="1" applyBorder="1" applyAlignment="1">
      <alignment vertical="center" wrapText="1"/>
    </xf>
    <xf numFmtId="2" fontId="14" fillId="1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2" fontId="16" fillId="0" borderId="1" xfId="0" applyNumberFormat="1" applyFont="1" applyBorder="1" applyAlignment="1"/>
    <xf numFmtId="0" fontId="97" fillId="0" borderId="6" xfId="0" applyFont="1" applyBorder="1" applyAlignment="1">
      <alignment vertical="top" wrapText="1"/>
    </xf>
    <xf numFmtId="2" fontId="1" fillId="0" borderId="0" xfId="35" applyNumberFormat="1" applyFont="1" applyAlignment="1">
      <alignment vertical="center"/>
    </xf>
    <xf numFmtId="0" fontId="1" fillId="0" borderId="0" xfId="35" applyFont="1" applyAlignment="1">
      <alignment vertical="center"/>
    </xf>
    <xf numFmtId="2" fontId="1" fillId="0" borderId="1" xfId="39" applyNumberFormat="1" applyFont="1" applyBorder="1" applyAlignment="1">
      <alignment vertical="center"/>
    </xf>
    <xf numFmtId="184" fontId="4" fillId="0" borderId="1" xfId="39" applyNumberFormat="1" applyFont="1" applyBorder="1" applyAlignment="1">
      <alignment vertical="center"/>
    </xf>
    <xf numFmtId="2" fontId="21" fillId="0" borderId="72" xfId="39" applyNumberFormat="1" applyFont="1" applyBorder="1" applyAlignment="1">
      <alignment vertical="center"/>
    </xf>
    <xf numFmtId="2" fontId="4" fillId="0" borderId="57" xfId="39" applyNumberFormat="1" applyFont="1" applyBorder="1" applyAlignment="1">
      <alignment vertical="center"/>
    </xf>
    <xf numFmtId="2" fontId="4" fillId="0" borderId="55" xfId="39" applyNumberFormat="1" applyFont="1" applyBorder="1" applyAlignment="1">
      <alignment vertical="center"/>
    </xf>
    <xf numFmtId="0" fontId="1" fillId="0" borderId="57" xfId="39" applyFont="1" applyBorder="1" applyAlignment="1">
      <alignment vertical="center"/>
    </xf>
    <xf numFmtId="0" fontId="1" fillId="0" borderId="5" xfId="39" applyFont="1" applyBorder="1" applyAlignment="1">
      <alignment vertical="center"/>
    </xf>
    <xf numFmtId="0" fontId="15" fillId="0" borderId="5" xfId="39" applyFont="1" applyBorder="1" applyAlignment="1">
      <alignment vertical="center"/>
    </xf>
    <xf numFmtId="0" fontId="1" fillId="0" borderId="55" xfId="39" applyFont="1" applyBorder="1" applyAlignment="1">
      <alignment vertical="center"/>
    </xf>
    <xf numFmtId="0" fontId="1" fillId="0" borderId="49" xfId="39" applyFont="1" applyBorder="1" applyAlignment="1">
      <alignment vertical="center"/>
    </xf>
    <xf numFmtId="1" fontId="2" fillId="0" borderId="1" xfId="39" applyNumberFormat="1" applyFont="1" applyBorder="1" applyAlignment="1">
      <alignment vertical="center"/>
    </xf>
    <xf numFmtId="169" fontId="1" fillId="0" borderId="1" xfId="39" applyNumberFormat="1" applyFont="1" applyBorder="1" applyAlignment="1">
      <alignment vertical="center"/>
    </xf>
    <xf numFmtId="0" fontId="15" fillId="0" borderId="1" xfId="39" applyFont="1" applyBorder="1" applyAlignment="1">
      <alignment vertical="center"/>
    </xf>
    <xf numFmtId="1" fontId="4" fillId="10" borderId="45" xfId="39" applyNumberFormat="1" applyFont="1" applyFill="1" applyBorder="1" applyAlignment="1">
      <alignment vertical="center"/>
    </xf>
    <xf numFmtId="2" fontId="4" fillId="10" borderId="1" xfId="39" applyNumberFormat="1" applyFont="1" applyFill="1" applyBorder="1" applyAlignment="1">
      <alignment vertical="center"/>
    </xf>
    <xf numFmtId="2" fontId="1" fillId="0" borderId="5" xfId="40" applyNumberFormat="1" applyFont="1" applyBorder="1"/>
    <xf numFmtId="0" fontId="1" fillId="0" borderId="1" xfId="40" applyFont="1" applyBorder="1"/>
    <xf numFmtId="165" fontId="1" fillId="0" borderId="0" xfId="0" applyNumberFormat="1" applyFont="1" applyAlignment="1"/>
    <xf numFmtId="165" fontId="1" fillId="0" borderId="1" xfId="0" applyNumberFormat="1" applyFont="1" applyBorder="1" applyAlignment="1">
      <alignment horizontal="right"/>
    </xf>
    <xf numFmtId="0" fontId="1" fillId="0" borderId="13" xfId="39" applyFont="1" applyBorder="1" applyAlignment="1">
      <alignment vertical="center"/>
    </xf>
    <xf numFmtId="0" fontId="15" fillId="0" borderId="45" xfId="39" applyFont="1" applyBorder="1" applyAlignment="1">
      <alignment vertical="center"/>
    </xf>
    <xf numFmtId="0" fontId="1" fillId="0" borderId="32" xfId="39" applyFont="1" applyBorder="1" applyAlignment="1">
      <alignment vertical="center"/>
    </xf>
    <xf numFmtId="0" fontId="1" fillId="0" borderId="14" xfId="39" applyFont="1" applyBorder="1" applyAlignment="1">
      <alignment vertical="center"/>
    </xf>
    <xf numFmtId="1" fontId="4" fillId="0" borderId="2" xfId="39" applyNumberFormat="1" applyFont="1" applyBorder="1" applyAlignment="1">
      <alignment vertical="center"/>
    </xf>
    <xf numFmtId="2" fontId="4" fillId="0" borderId="2" xfId="39" applyNumberFormat="1" applyFont="1" applyBorder="1" applyAlignment="1">
      <alignment vertical="center"/>
    </xf>
    <xf numFmtId="1" fontId="21" fillId="0" borderId="2" xfId="39" applyNumberFormat="1" applyFont="1" applyBorder="1" applyAlignment="1">
      <alignment vertical="center"/>
    </xf>
    <xf numFmtId="169" fontId="21" fillId="0" borderId="1" xfId="39" applyNumberFormat="1" applyFont="1" applyBorder="1" applyAlignment="1">
      <alignment vertical="center"/>
    </xf>
    <xf numFmtId="2" fontId="21" fillId="0" borderId="2" xfId="39" applyNumberFormat="1" applyFont="1" applyBorder="1" applyAlignment="1">
      <alignment vertical="center"/>
    </xf>
    <xf numFmtId="2" fontId="2" fillId="0" borderId="12" xfId="39" applyNumberFormat="1" applyFont="1" applyBorder="1" applyAlignment="1">
      <alignment vertical="center"/>
    </xf>
    <xf numFmtId="0" fontId="1" fillId="0" borderId="7" xfId="39" applyFont="1" applyBorder="1" applyAlignment="1">
      <alignment horizontal="center" vertical="center"/>
    </xf>
    <xf numFmtId="165" fontId="21" fillId="0" borderId="63" xfId="12" applyNumberFormat="1" applyFont="1" applyBorder="1" applyAlignment="1">
      <alignment vertical="center"/>
    </xf>
    <xf numFmtId="170" fontId="21" fillId="0" borderId="63" xfId="12" applyNumberFormat="1" applyFont="1" applyBorder="1" applyAlignment="1">
      <alignment vertical="center"/>
    </xf>
    <xf numFmtId="165" fontId="1" fillId="0" borderId="63" xfId="12" applyNumberFormat="1" applyFont="1" applyBorder="1" applyAlignment="1">
      <alignment vertical="center"/>
    </xf>
    <xf numFmtId="2" fontId="2" fillId="0" borderId="51" xfId="39" applyNumberFormat="1" applyFont="1" applyBorder="1" applyAlignment="1">
      <alignment vertical="center"/>
    </xf>
    <xf numFmtId="0" fontId="2" fillId="7" borderId="5" xfId="39" applyFont="1" applyFill="1" applyBorder="1" applyAlignment="1">
      <alignment horizontal="center" vertical="center" wrapText="1"/>
    </xf>
    <xf numFmtId="2" fontId="4" fillId="0" borderId="5" xfId="39" applyNumberFormat="1" applyFont="1" applyBorder="1" applyAlignment="1">
      <alignment vertical="center"/>
    </xf>
    <xf numFmtId="2" fontId="21" fillId="0" borderId="5" xfId="39" applyNumberFormat="1" applyFont="1" applyBorder="1" applyAlignment="1">
      <alignment vertical="center"/>
    </xf>
    <xf numFmtId="2" fontId="21" fillId="0" borderId="49" xfId="39" applyNumberFormat="1" applyFont="1" applyBorder="1" applyAlignment="1">
      <alignment vertical="center"/>
    </xf>
    <xf numFmtId="0" fontId="1" fillId="0" borderId="25" xfId="39" applyFont="1" applyBorder="1" applyAlignment="1">
      <alignment vertical="center"/>
    </xf>
    <xf numFmtId="0" fontId="1" fillId="0" borderId="46" xfId="39" applyFont="1" applyBorder="1" applyAlignment="1">
      <alignment vertical="center"/>
    </xf>
    <xf numFmtId="169" fontId="1" fillId="0" borderId="6" xfId="39" applyNumberFormat="1" applyFont="1" applyBorder="1" applyAlignment="1">
      <alignment vertical="center"/>
    </xf>
    <xf numFmtId="1" fontId="2" fillId="0" borderId="2" xfId="39" applyNumberFormat="1" applyFont="1" applyBorder="1" applyAlignment="1">
      <alignment vertical="center"/>
    </xf>
    <xf numFmtId="0" fontId="2" fillId="0" borderId="6" xfId="39" applyFont="1" applyBorder="1" applyAlignment="1">
      <alignment vertical="center"/>
    </xf>
    <xf numFmtId="2" fontId="1" fillId="0" borderId="0" xfId="39" applyNumberFormat="1" applyFont="1" applyBorder="1" applyAlignment="1">
      <alignment vertical="center"/>
    </xf>
    <xf numFmtId="169" fontId="1" fillId="0" borderId="0" xfId="39" applyNumberFormat="1" applyFont="1" applyBorder="1" applyAlignment="1">
      <alignment vertical="center"/>
    </xf>
    <xf numFmtId="1" fontId="21" fillId="0" borderId="58" xfId="39" applyNumberFormat="1" applyFont="1" applyBorder="1" applyAlignment="1">
      <alignment vertical="center"/>
    </xf>
    <xf numFmtId="1" fontId="21" fillId="0" borderId="71" xfId="39" applyNumberFormat="1" applyFont="1" applyBorder="1" applyAlignment="1">
      <alignment vertical="center"/>
    </xf>
    <xf numFmtId="169" fontId="21" fillId="0" borderId="72" xfId="39" applyNumberFormat="1" applyFont="1" applyBorder="1" applyAlignment="1">
      <alignment vertical="center"/>
    </xf>
    <xf numFmtId="2" fontId="21" fillId="0" borderId="75" xfId="39" applyNumberFormat="1" applyFont="1" applyBorder="1" applyAlignment="1">
      <alignment vertical="center"/>
    </xf>
    <xf numFmtId="2" fontId="4" fillId="0" borderId="3" xfId="39" applyNumberFormat="1" applyFont="1" applyBorder="1" applyAlignment="1">
      <alignment vertical="center"/>
    </xf>
    <xf numFmtId="2" fontId="4" fillId="0" borderId="69" xfId="39" applyNumberFormat="1" applyFont="1" applyBorder="1" applyAlignment="1">
      <alignment vertical="center"/>
    </xf>
    <xf numFmtId="1" fontId="4" fillId="0" borderId="32" xfId="39" applyNumberFormat="1" applyFont="1" applyBorder="1" applyAlignment="1">
      <alignment vertical="center"/>
    </xf>
    <xf numFmtId="2" fontId="4" fillId="0" borderId="70" xfId="39" applyNumberFormat="1" applyFont="1" applyBorder="1" applyAlignment="1">
      <alignment vertical="center"/>
    </xf>
    <xf numFmtId="1" fontId="4" fillId="0" borderId="13" xfId="39" applyNumberFormat="1" applyFont="1" applyBorder="1" applyAlignment="1">
      <alignment vertical="center"/>
    </xf>
    <xf numFmtId="2" fontId="4" fillId="0" borderId="61" xfId="39" applyNumberFormat="1" applyFont="1" applyBorder="1" applyAlignment="1">
      <alignment vertical="center"/>
    </xf>
    <xf numFmtId="2" fontId="1" fillId="0" borderId="12" xfId="39" applyNumberFormat="1" applyFont="1" applyBorder="1" applyAlignment="1">
      <alignment vertical="center"/>
    </xf>
    <xf numFmtId="169" fontId="1" fillId="0" borderId="15" xfId="39" applyNumberFormat="1" applyFont="1" applyBorder="1" applyAlignment="1">
      <alignment vertical="center"/>
    </xf>
    <xf numFmtId="2" fontId="21" fillId="0" borderId="27" xfId="39" applyNumberFormat="1" applyFont="1" applyBorder="1" applyAlignment="1">
      <alignment vertical="center"/>
    </xf>
    <xf numFmtId="2" fontId="1" fillId="0" borderId="6" xfId="39" applyNumberFormat="1" applyFont="1" applyBorder="1" applyAlignment="1">
      <alignment vertical="center"/>
    </xf>
    <xf numFmtId="2" fontId="80" fillId="0" borderId="1" xfId="39" applyNumberFormat="1" applyFont="1" applyBorder="1" applyAlignment="1">
      <alignment vertical="center"/>
    </xf>
    <xf numFmtId="1" fontId="1" fillId="0" borderId="1" xfId="39" applyNumberFormat="1" applyFont="1" applyBorder="1" applyAlignment="1">
      <alignment vertical="center"/>
    </xf>
    <xf numFmtId="169" fontId="4" fillId="0" borderId="1" xfId="39" applyNumberFormat="1" applyFont="1" applyBorder="1" applyAlignment="1">
      <alignment vertical="center"/>
    </xf>
    <xf numFmtId="0" fontId="80" fillId="0" borderId="34" xfId="39" applyFont="1" applyBorder="1" applyAlignment="1">
      <alignment vertical="center"/>
    </xf>
    <xf numFmtId="0" fontId="4" fillId="0" borderId="34" xfId="39" applyFont="1" applyBorder="1" applyAlignment="1">
      <alignment vertical="center"/>
    </xf>
    <xf numFmtId="0" fontId="1" fillId="0" borderId="34" xfId="39" applyFont="1" applyBorder="1" applyAlignment="1">
      <alignment vertical="center"/>
    </xf>
    <xf numFmtId="0" fontId="1" fillId="0" borderId="35" xfId="39" applyFont="1" applyBorder="1" applyAlignment="1">
      <alignment vertical="center"/>
    </xf>
    <xf numFmtId="0" fontId="1" fillId="0" borderId="17" xfId="39" applyFont="1" applyBorder="1" applyAlignment="1">
      <alignment vertical="center"/>
    </xf>
    <xf numFmtId="0" fontId="1" fillId="0" borderId="33" xfId="39" applyFont="1" applyBorder="1" applyAlignment="1">
      <alignment vertical="center"/>
    </xf>
    <xf numFmtId="0" fontId="1" fillId="0" borderId="19" xfId="39" applyFont="1" applyBorder="1" applyAlignment="1">
      <alignment vertical="center"/>
    </xf>
    <xf numFmtId="0" fontId="2" fillId="0" borderId="67" xfId="39" applyFont="1" applyBorder="1" applyAlignment="1">
      <alignment vertical="center" wrapText="1"/>
    </xf>
    <xf numFmtId="0" fontId="2" fillId="0" borderId="50" xfId="39" applyFont="1" applyBorder="1" applyAlignment="1">
      <alignment horizontal="left" vertical="center" wrapText="1"/>
    </xf>
    <xf numFmtId="0" fontId="1" fillId="0" borderId="50" xfId="39" applyFont="1" applyBorder="1" applyAlignment="1">
      <alignment horizontal="left" vertical="center" wrapText="1"/>
    </xf>
    <xf numFmtId="49" fontId="22" fillId="0" borderId="50" xfId="39" applyNumberFormat="1" applyFont="1" applyBorder="1" applyAlignment="1" applyProtection="1">
      <alignment horizontal="left" vertical="top" wrapText="1"/>
    </xf>
    <xf numFmtId="0" fontId="2" fillId="0" borderId="51" xfId="39" applyFont="1" applyBorder="1" applyAlignment="1">
      <alignment vertical="center" wrapText="1"/>
    </xf>
    <xf numFmtId="0" fontId="2" fillId="0" borderId="43" xfId="39" applyFont="1" applyBorder="1" applyAlignment="1">
      <alignment horizontal="left" vertical="center" wrapText="1"/>
    </xf>
    <xf numFmtId="0" fontId="1" fillId="0" borderId="44" xfId="39" applyFont="1" applyBorder="1" applyAlignment="1">
      <alignment horizontal="left" vertical="center" wrapText="1"/>
    </xf>
    <xf numFmtId="0" fontId="2" fillId="0" borderId="0" xfId="39" applyFont="1" applyBorder="1" applyAlignment="1">
      <alignment vertical="center" wrapText="1"/>
    </xf>
    <xf numFmtId="0" fontId="2" fillId="0" borderId="43" xfId="39" applyFont="1" applyBorder="1" applyAlignment="1">
      <alignment vertical="center" wrapText="1"/>
    </xf>
    <xf numFmtId="0" fontId="1" fillId="0" borderId="44" xfId="39" applyFont="1" applyBorder="1" applyAlignment="1">
      <alignment vertical="center" wrapText="1"/>
    </xf>
    <xf numFmtId="0" fontId="1" fillId="0" borderId="43" xfId="39" applyFont="1" applyBorder="1" applyAlignment="1">
      <alignment horizontal="left" vertical="center" wrapText="1"/>
    </xf>
    <xf numFmtId="0" fontId="1" fillId="0" borderId="43" xfId="29" applyFont="1" applyBorder="1" applyAlignment="1">
      <alignment horizontal="left" vertical="center" wrapText="1"/>
    </xf>
    <xf numFmtId="0" fontId="1" fillId="0" borderId="50" xfId="39" applyFont="1" applyBorder="1" applyAlignment="1">
      <alignment vertical="center" wrapText="1"/>
    </xf>
    <xf numFmtId="0" fontId="2" fillId="0" borderId="50" xfId="39" applyFont="1" applyBorder="1" applyAlignment="1">
      <alignment vertical="center" wrapText="1"/>
    </xf>
    <xf numFmtId="0" fontId="1" fillId="0" borderId="50" xfId="39" applyFont="1" applyFill="1" applyBorder="1" applyAlignment="1">
      <alignment vertical="center" wrapText="1"/>
    </xf>
    <xf numFmtId="0" fontId="2" fillId="0" borderId="50" xfId="39" applyFont="1" applyBorder="1" applyAlignment="1">
      <alignment vertical="center"/>
    </xf>
    <xf numFmtId="0" fontId="2" fillId="0" borderId="51" xfId="39" applyFont="1" applyBorder="1" applyAlignment="1">
      <alignment vertical="center"/>
    </xf>
    <xf numFmtId="0" fontId="1" fillId="0" borderId="51" xfId="39" applyFont="1" applyBorder="1" applyAlignment="1">
      <alignment horizontal="center" vertical="center"/>
    </xf>
    <xf numFmtId="1" fontId="4" fillId="0" borderId="3" xfId="39" applyNumberFormat="1" applyFont="1" applyBorder="1" applyAlignment="1">
      <alignment vertical="center"/>
    </xf>
    <xf numFmtId="0" fontId="4" fillId="0" borderId="35" xfId="39" applyFont="1" applyBorder="1" applyAlignment="1">
      <alignment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/>
    </xf>
    <xf numFmtId="2" fontId="82" fillId="0" borderId="1" xfId="0" applyNumberFormat="1" applyFont="1" applyBorder="1" applyAlignment="1">
      <alignment wrapText="1"/>
    </xf>
    <xf numFmtId="2" fontId="2" fillId="0" borderId="1" xfId="4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/>
    <xf numFmtId="165" fontId="1" fillId="0" borderId="1" xfId="0" applyNumberFormat="1" applyFont="1" applyBorder="1" applyAlignment="1"/>
    <xf numFmtId="0" fontId="1" fillId="0" borderId="1" xfId="0" applyFont="1" applyBorder="1" applyAlignment="1">
      <alignment wrapText="1"/>
    </xf>
    <xf numFmtId="169" fontId="8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wrapText="1"/>
    </xf>
    <xf numFmtId="0" fontId="1" fillId="0" borderId="29" xfId="0" applyFont="1" applyBorder="1" applyAlignment="1"/>
    <xf numFmtId="0" fontId="1" fillId="0" borderId="0" xfId="0" applyFont="1" applyBorder="1" applyAlignment="1"/>
    <xf numFmtId="0" fontId="1" fillId="0" borderId="56" xfId="0" applyFont="1" applyBorder="1" applyAlignment="1"/>
    <xf numFmtId="0" fontId="1" fillId="0" borderId="2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6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9" xfId="0" applyFont="1" applyBorder="1" applyAlignment="1">
      <alignment horizontal="right" wrapText="1"/>
    </xf>
    <xf numFmtId="0" fontId="1" fillId="0" borderId="55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28" xfId="0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57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168" fontId="1" fillId="10" borderId="1" xfId="0" applyNumberFormat="1" applyFont="1" applyFill="1" applyBorder="1">
      <alignment vertical="top"/>
    </xf>
    <xf numFmtId="43" fontId="0" fillId="0" borderId="0" xfId="0" applyNumberFormat="1">
      <alignment vertical="top"/>
    </xf>
    <xf numFmtId="43" fontId="6" fillId="10" borderId="0" xfId="40" applyNumberFormat="1" applyFont="1" applyFill="1" applyAlignment="1">
      <alignment wrapText="1"/>
    </xf>
    <xf numFmtId="43" fontId="5" fillId="0" borderId="0" xfId="40" applyNumberFormat="1" applyFont="1" applyFill="1"/>
    <xf numFmtId="174" fontId="5" fillId="0" borderId="0" xfId="40" applyNumberFormat="1" applyFont="1" applyFill="1"/>
    <xf numFmtId="0" fontId="0" fillId="0" borderId="5" xfId="0" applyBorder="1" applyAlignment="1"/>
    <xf numFmtId="0" fontId="71" fillId="0" borderId="1" xfId="0" applyFont="1" applyBorder="1" applyAlignment="1">
      <alignment horizontal="center" vertical="center"/>
    </xf>
    <xf numFmtId="0" fontId="58" fillId="19" borderId="84" xfId="0" applyFont="1" applyFill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 wrapText="1"/>
    </xf>
    <xf numFmtId="0" fontId="20" fillId="0" borderId="81" xfId="0" applyFont="1" applyFill="1" applyBorder="1" applyAlignment="1">
      <alignment horizontal="left" vertical="top" wrapText="1" indent="1"/>
    </xf>
    <xf numFmtId="0" fontId="0" fillId="0" borderId="12" xfId="0" applyBorder="1" applyAlignment="1"/>
    <xf numFmtId="0" fontId="20" fillId="0" borderId="81" xfId="0" applyFont="1" applyFill="1" applyBorder="1" applyAlignment="1">
      <alignment horizontal="left" vertical="top" wrapText="1"/>
    </xf>
    <xf numFmtId="2" fontId="0" fillId="0" borderId="1" xfId="0" applyNumberFormat="1" applyBorder="1" applyAlignment="1"/>
    <xf numFmtId="168" fontId="0" fillId="0" borderId="1" xfId="0" applyNumberFormat="1" applyBorder="1" applyAlignment="1"/>
    <xf numFmtId="0" fontId="56" fillId="0" borderId="81" xfId="0" applyFont="1" applyFill="1" applyBorder="1" applyAlignment="1">
      <alignment horizontal="left" vertical="top" wrapText="1"/>
    </xf>
    <xf numFmtId="0" fontId="71" fillId="0" borderId="1" xfId="0" applyFont="1" applyBorder="1" applyAlignment="1"/>
    <xf numFmtId="2" fontId="71" fillId="0" borderId="1" xfId="0" applyNumberFormat="1" applyFont="1" applyBorder="1" applyAlignment="1"/>
    <xf numFmtId="168" fontId="71" fillId="0" borderId="1" xfId="0" applyNumberFormat="1" applyFont="1" applyBorder="1" applyAlignment="1"/>
    <xf numFmtId="0" fontId="98" fillId="0" borderId="81" xfId="0" applyFont="1" applyFill="1" applyBorder="1" applyAlignment="1">
      <alignment horizontal="left" vertical="top" wrapText="1"/>
    </xf>
    <xf numFmtId="0" fontId="90" fillId="0" borderId="81" xfId="0" applyFont="1" applyFill="1" applyBorder="1" applyAlignment="1">
      <alignment horizontal="left" vertical="top" wrapText="1"/>
    </xf>
    <xf numFmtId="2" fontId="0" fillId="13" borderId="1" xfId="0" applyNumberFormat="1" applyFill="1" applyBorder="1" applyAlignment="1"/>
    <xf numFmtId="2" fontId="0" fillId="10" borderId="1" xfId="0" applyNumberFormat="1" applyFill="1" applyBorder="1" applyAlignment="1"/>
    <xf numFmtId="0" fontId="20" fillId="0" borderId="81" xfId="0" applyFont="1" applyFill="1" applyBorder="1" applyAlignment="1">
      <alignment horizontal="left" vertical="center" wrapText="1"/>
    </xf>
    <xf numFmtId="0" fontId="0" fillId="0" borderId="1" xfId="0" applyFont="1" applyBorder="1" applyAlignment="1"/>
    <xf numFmtId="2" fontId="0" fillId="0" borderId="1" xfId="0" applyNumberFormat="1" applyFont="1" applyBorder="1" applyAlignment="1"/>
    <xf numFmtId="0" fontId="62" fillId="0" borderId="0" xfId="31" applyFont="1" applyAlignment="1">
      <alignment horizontal="center" vertical="center"/>
    </xf>
    <xf numFmtId="0" fontId="62" fillId="0" borderId="0" xfId="31" applyFont="1">
      <alignment horizontal="right" vertical="center"/>
    </xf>
    <xf numFmtId="2" fontId="62" fillId="0" borderId="0" xfId="31" applyNumberFormat="1" applyFont="1" applyAlignment="1">
      <alignment horizontal="center" vertical="center"/>
    </xf>
    <xf numFmtId="2" fontId="62" fillId="0" borderId="0" xfId="31" applyNumberFormat="1" applyFont="1">
      <alignment horizontal="right" vertical="center"/>
    </xf>
    <xf numFmtId="2" fontId="62" fillId="0" borderId="0" xfId="31" applyNumberFormat="1" applyFont="1" applyAlignment="1">
      <alignment horizontal="center"/>
    </xf>
    <xf numFmtId="2" fontId="62" fillId="0" borderId="1" xfId="31" applyNumberFormat="1" applyFont="1" applyBorder="1">
      <alignment horizontal="right" vertical="center"/>
    </xf>
    <xf numFmtId="0" fontId="62" fillId="0" borderId="0" xfId="31" applyFont="1" applyBorder="1">
      <alignment horizontal="right" vertical="center"/>
    </xf>
    <xf numFmtId="0" fontId="62" fillId="0" borderId="1" xfId="31" applyFont="1" applyBorder="1" applyAlignment="1">
      <alignment horizontal="center" vertical="center"/>
    </xf>
    <xf numFmtId="2" fontId="63" fillId="0" borderId="5" xfId="31" applyNumberFormat="1" applyFont="1" applyBorder="1" applyAlignment="1">
      <alignment horizontal="center" vertical="center"/>
    </xf>
    <xf numFmtId="2" fontId="63" fillId="0" borderId="45" xfId="31" applyNumberFormat="1" applyFont="1" applyBorder="1" applyAlignment="1">
      <alignment vertical="center"/>
    </xf>
    <xf numFmtId="2" fontId="63" fillId="0" borderId="1" xfId="31" applyNumberFormat="1" applyFont="1" applyBorder="1" applyAlignment="1">
      <alignment horizontal="center" vertical="center" wrapText="1"/>
    </xf>
    <xf numFmtId="0" fontId="63" fillId="0" borderId="0" xfId="31" applyFont="1" applyBorder="1">
      <alignment horizontal="right" vertical="center"/>
    </xf>
    <xf numFmtId="0" fontId="63" fillId="0" borderId="0" xfId="31" applyFont="1">
      <alignment horizontal="right" vertical="center"/>
    </xf>
    <xf numFmtId="0" fontId="63" fillId="0" borderId="12" xfId="31" applyFont="1" applyBorder="1" applyAlignment="1">
      <alignment horizontal="center" vertical="center" wrapText="1"/>
    </xf>
    <xf numFmtId="2" fontId="63" fillId="0" borderId="12" xfId="31" applyNumberFormat="1" applyFont="1" applyBorder="1" applyAlignment="1">
      <alignment horizontal="center" vertical="center" wrapText="1"/>
    </xf>
    <xf numFmtId="2" fontId="63" fillId="0" borderId="1" xfId="31" applyNumberFormat="1" applyFont="1" applyBorder="1" applyAlignment="1">
      <alignment horizontal="center" wrapText="1"/>
    </xf>
    <xf numFmtId="168" fontId="63" fillId="0" borderId="1" xfId="31" applyNumberFormat="1" applyFont="1" applyBorder="1" applyAlignment="1">
      <alignment horizontal="center" wrapText="1"/>
    </xf>
    <xf numFmtId="0" fontId="63" fillId="0" borderId="1" xfId="31" applyFont="1" applyBorder="1" applyAlignment="1">
      <alignment horizontal="center" vertical="center" wrapText="1"/>
    </xf>
    <xf numFmtId="0" fontId="63" fillId="0" borderId="5" xfId="31" applyFont="1" applyBorder="1" applyAlignment="1">
      <alignment horizontal="center" vertical="center" wrapText="1"/>
    </xf>
    <xf numFmtId="0" fontId="63" fillId="0" borderId="0" xfId="31" applyFont="1" applyBorder="1" applyAlignment="1">
      <alignment horizontal="center"/>
    </xf>
    <xf numFmtId="0" fontId="63" fillId="0" borderId="0" xfId="31" applyFont="1" applyAlignment="1">
      <alignment horizontal="center"/>
    </xf>
    <xf numFmtId="0" fontId="62" fillId="0" borderId="12" xfId="31" applyFont="1" applyBorder="1" applyAlignment="1">
      <alignment horizontal="center" vertical="center" wrapText="1"/>
    </xf>
    <xf numFmtId="2" fontId="62" fillId="0" borderId="12" xfId="31" applyNumberFormat="1" applyFont="1" applyBorder="1" applyAlignment="1">
      <alignment horizontal="center" vertical="center" wrapText="1"/>
    </xf>
    <xf numFmtId="0" fontId="63" fillId="0" borderId="1" xfId="31" applyFont="1" applyBorder="1" applyAlignment="1">
      <alignment horizontal="center"/>
    </xf>
    <xf numFmtId="0" fontId="63" fillId="0" borderId="1" xfId="31" applyFont="1" applyBorder="1" applyAlignment="1">
      <alignment horizontal="left"/>
    </xf>
    <xf numFmtId="2" fontId="63" fillId="0" borderId="1" xfId="31" applyNumberFormat="1" applyFont="1" applyBorder="1" applyAlignment="1">
      <alignment horizontal="center"/>
    </xf>
    <xf numFmtId="0" fontId="63" fillId="0" borderId="1" xfId="31" applyFont="1" applyBorder="1" applyAlignment="1">
      <alignment horizontal="center" wrapText="1"/>
    </xf>
    <xf numFmtId="0" fontId="63" fillId="0" borderId="5" xfId="31" applyFont="1" applyBorder="1" applyAlignment="1">
      <alignment horizontal="center"/>
    </xf>
    <xf numFmtId="2" fontId="63" fillId="0" borderId="0" xfId="31" applyNumberFormat="1" applyFont="1" applyAlignment="1">
      <alignment horizontal="center"/>
    </xf>
    <xf numFmtId="0" fontId="63" fillId="0" borderId="1" xfId="31" applyFont="1" applyBorder="1" applyAlignment="1">
      <alignment horizontal="center" vertical="center"/>
    </xf>
    <xf numFmtId="0" fontId="63" fillId="0" borderId="1" xfId="31" applyFont="1" applyBorder="1" applyAlignment="1">
      <alignment horizontal="left" vertical="center"/>
    </xf>
    <xf numFmtId="2" fontId="63" fillId="0" borderId="1" xfId="31" applyNumberFormat="1" applyFont="1" applyBorder="1" applyAlignment="1">
      <alignment horizontal="right" vertical="center"/>
    </xf>
    <xf numFmtId="168" fontId="63" fillId="0" borderId="1" xfId="31" applyNumberFormat="1" applyFont="1" applyBorder="1" applyAlignment="1">
      <alignment horizontal="right" vertical="center"/>
    </xf>
    <xf numFmtId="0" fontId="63" fillId="0" borderId="1" xfId="31" applyFont="1" applyBorder="1" applyAlignment="1">
      <alignment horizontal="right" vertical="center"/>
    </xf>
    <xf numFmtId="2" fontId="63" fillId="0" borderId="5" xfId="31" applyNumberFormat="1" applyFont="1" applyBorder="1" applyAlignment="1">
      <alignment horizontal="right" vertical="center"/>
    </xf>
    <xf numFmtId="0" fontId="64" fillId="0" borderId="1" xfId="31" applyFont="1" applyBorder="1" applyAlignment="1">
      <alignment horizontal="center" vertical="center"/>
    </xf>
    <xf numFmtId="0" fontId="64" fillId="0" borderId="1" xfId="31" applyFont="1" applyBorder="1" applyAlignment="1">
      <alignment horizontal="left" vertical="center"/>
    </xf>
    <xf numFmtId="2" fontId="64" fillId="0" borderId="1" xfId="31" applyNumberFormat="1" applyFont="1" applyBorder="1" applyAlignment="1">
      <alignment horizontal="right" vertical="center"/>
    </xf>
    <xf numFmtId="0" fontId="64" fillId="0" borderId="0" xfId="31" applyFont="1" applyBorder="1">
      <alignment horizontal="right" vertical="center"/>
    </xf>
    <xf numFmtId="2" fontId="64" fillId="0" borderId="0" xfId="31" applyNumberFormat="1" applyFont="1">
      <alignment horizontal="right" vertical="center"/>
    </xf>
    <xf numFmtId="0" fontId="64" fillId="0" borderId="0" xfId="31" applyFont="1">
      <alignment horizontal="right" vertical="center"/>
    </xf>
    <xf numFmtId="2" fontId="63" fillId="0" borderId="0" xfId="31" applyNumberFormat="1" applyFont="1" applyAlignment="1">
      <alignment horizontal="right" vertical="center"/>
    </xf>
    <xf numFmtId="0" fontId="62" fillId="0" borderId="1" xfId="31" applyFont="1" applyBorder="1" applyAlignment="1">
      <alignment horizontal="left" vertical="center"/>
    </xf>
    <xf numFmtId="2" fontId="62" fillId="0" borderId="1" xfId="31" applyNumberFormat="1" applyFont="1" applyBorder="1" applyAlignment="1">
      <alignment horizontal="right" vertical="center"/>
    </xf>
    <xf numFmtId="2" fontId="63" fillId="0" borderId="1" xfId="31" applyNumberFormat="1" applyFont="1" applyBorder="1" applyAlignment="1">
      <alignment horizontal="center" vertical="center"/>
    </xf>
    <xf numFmtId="2" fontId="63" fillId="0" borderId="0" xfId="31" applyNumberFormat="1" applyFont="1" applyBorder="1" applyAlignment="1">
      <alignment horizontal="left" vertical="center"/>
    </xf>
    <xf numFmtId="2" fontId="62" fillId="0" borderId="1" xfId="31" applyNumberFormat="1" applyFont="1" applyBorder="1" applyAlignment="1">
      <alignment horizontal="center" vertical="center"/>
    </xf>
    <xf numFmtId="168" fontId="64" fillId="0" borderId="1" xfId="31" applyNumberFormat="1" applyFont="1" applyBorder="1" applyAlignment="1">
      <alignment horizontal="right" vertical="center"/>
    </xf>
    <xf numFmtId="0" fontId="64" fillId="0" borderId="1" xfId="31" applyFont="1" applyBorder="1" applyAlignment="1">
      <alignment horizontal="right" vertical="center"/>
    </xf>
    <xf numFmtId="2" fontId="62" fillId="0" borderId="5" xfId="31" applyNumberFormat="1" applyFont="1" applyBorder="1" applyAlignment="1">
      <alignment horizontal="right" vertical="center"/>
    </xf>
    <xf numFmtId="0" fontId="64" fillId="0" borderId="1" xfId="31" applyFont="1" applyBorder="1">
      <alignment horizontal="right" vertical="center"/>
    </xf>
    <xf numFmtId="2" fontId="64" fillId="0" borderId="5" xfId="31" applyNumberFormat="1" applyFont="1" applyBorder="1" applyAlignment="1">
      <alignment horizontal="right" vertical="center"/>
    </xf>
    <xf numFmtId="202" fontId="63" fillId="0" borderId="1" xfId="31" applyNumberFormat="1" applyFont="1" applyBorder="1" applyAlignment="1">
      <alignment horizontal="right" vertical="center"/>
    </xf>
    <xf numFmtId="2" fontId="63" fillId="0" borderId="1" xfId="31" applyNumberFormat="1" applyFont="1" applyBorder="1" applyAlignment="1">
      <alignment horizontal="left" vertical="center"/>
    </xf>
    <xf numFmtId="0" fontId="63" fillId="0" borderId="0" xfId="31" applyFont="1" applyBorder="1" applyAlignment="1">
      <alignment horizontal="right" vertical="center"/>
    </xf>
    <xf numFmtId="2" fontId="65" fillId="0" borderId="1" xfId="31" applyNumberFormat="1" applyFont="1" applyBorder="1" applyAlignment="1">
      <alignment horizontal="left" vertical="center"/>
    </xf>
    <xf numFmtId="0" fontId="63" fillId="0" borderId="45" xfId="31" applyFont="1" applyBorder="1" applyAlignment="1">
      <alignment horizontal="left" vertical="center"/>
    </xf>
    <xf numFmtId="0" fontId="64" fillId="0" borderId="45" xfId="31" applyFont="1" applyBorder="1" applyAlignment="1">
      <alignment horizontal="left" vertical="center"/>
    </xf>
    <xf numFmtId="0" fontId="64" fillId="0" borderId="0" xfId="31" applyFont="1" applyBorder="1" applyAlignment="1">
      <alignment horizontal="left" vertical="center"/>
    </xf>
    <xf numFmtId="0" fontId="64" fillId="0" borderId="0" xfId="31" applyFont="1" applyAlignment="1">
      <alignment horizontal="left" vertical="center"/>
    </xf>
    <xf numFmtId="2" fontId="64" fillId="0" borderId="0" xfId="31" applyNumberFormat="1" applyFont="1" applyBorder="1" applyAlignment="1">
      <alignment horizontal="center" vertical="center"/>
    </xf>
    <xf numFmtId="0" fontId="62" fillId="0" borderId="0" xfId="31" applyFont="1" applyBorder="1" applyAlignment="1">
      <alignment horizontal="left" vertical="center"/>
    </xf>
    <xf numFmtId="2" fontId="63" fillId="0" borderId="0" xfId="31" applyNumberFormat="1" applyFont="1">
      <alignment horizontal="right" vertical="center"/>
    </xf>
    <xf numFmtId="2" fontId="64" fillId="0" borderId="0" xfId="31" applyNumberFormat="1" applyFont="1" applyBorder="1">
      <alignment horizontal="right" vertical="center"/>
    </xf>
    <xf numFmtId="2" fontId="64" fillId="0" borderId="0" xfId="31" applyNumberFormat="1" applyFont="1" applyBorder="1" applyAlignment="1">
      <alignment horizontal="left" vertical="center"/>
    </xf>
    <xf numFmtId="0" fontId="63" fillId="0" borderId="1" xfId="31" applyFont="1" applyBorder="1">
      <alignment horizontal="right" vertical="center"/>
    </xf>
    <xf numFmtId="0" fontId="62" fillId="0" borderId="45" xfId="31" applyFont="1" applyBorder="1" applyAlignment="1">
      <alignment horizontal="left" vertical="center"/>
    </xf>
    <xf numFmtId="2" fontId="63" fillId="0" borderId="1" xfId="31" applyNumberFormat="1" applyFont="1" applyBorder="1" applyAlignment="1">
      <alignment horizontal="left" vertical="center" wrapText="1"/>
    </xf>
    <xf numFmtId="168" fontId="66" fillId="0" borderId="1" xfId="31" applyNumberFormat="1" applyFont="1" applyBorder="1" applyAlignment="1">
      <alignment horizontal="right" vertical="center"/>
    </xf>
    <xf numFmtId="0" fontId="66" fillId="0" borderId="1" xfId="31" applyFont="1" applyBorder="1" applyAlignment="1">
      <alignment horizontal="right" vertical="center"/>
    </xf>
    <xf numFmtId="0" fontId="66" fillId="0" borderId="0" xfId="31" applyFont="1" applyBorder="1">
      <alignment horizontal="right" vertical="center"/>
    </xf>
    <xf numFmtId="0" fontId="66" fillId="0" borderId="0" xfId="31" applyFont="1">
      <alignment horizontal="right" vertical="center"/>
    </xf>
    <xf numFmtId="0" fontId="62" fillId="0" borderId="1" xfId="31" applyFont="1" applyBorder="1" applyAlignment="1">
      <alignment horizontal="center" vertical="justify"/>
    </xf>
    <xf numFmtId="2" fontId="63" fillId="0" borderId="1" xfId="31" applyNumberFormat="1" applyFont="1" applyBorder="1" applyAlignment="1">
      <alignment horizontal="right" vertical="justify"/>
    </xf>
    <xf numFmtId="2" fontId="63" fillId="0" borderId="5" xfId="31" applyNumberFormat="1" applyFont="1" applyBorder="1" applyAlignment="1">
      <alignment horizontal="right" vertical="justify"/>
    </xf>
    <xf numFmtId="0" fontId="62" fillId="0" borderId="0" xfId="31" applyFont="1" applyBorder="1" applyAlignment="1">
      <alignment horizontal="right" vertical="justify"/>
    </xf>
    <xf numFmtId="0" fontId="62" fillId="0" borderId="0" xfId="31" applyFont="1" applyAlignment="1">
      <alignment horizontal="right" vertical="justify"/>
    </xf>
    <xf numFmtId="2" fontId="64" fillId="0" borderId="1" xfId="31" applyNumberFormat="1" applyFont="1" applyBorder="1" applyAlignment="1">
      <alignment horizontal="center" vertical="center"/>
    </xf>
    <xf numFmtId="0" fontId="63" fillId="0" borderId="0" xfId="31" applyFont="1" applyBorder="1" applyAlignment="1">
      <alignment horizontal="center" vertical="center"/>
    </xf>
    <xf numFmtId="0" fontId="63" fillId="0" borderId="0" xfId="31" applyFont="1" applyBorder="1" applyAlignment="1">
      <alignment horizontal="left" vertical="center"/>
    </xf>
    <xf numFmtId="2" fontId="63" fillId="0" borderId="0" xfId="31" applyNumberFormat="1" applyFont="1" applyBorder="1" applyAlignment="1">
      <alignment horizontal="center" vertical="center"/>
    </xf>
    <xf numFmtId="2" fontId="63" fillId="0" borderId="0" xfId="31" applyNumberFormat="1" applyFont="1" applyBorder="1">
      <alignment horizontal="right" vertical="center"/>
    </xf>
    <xf numFmtId="168" fontId="63" fillId="0" borderId="0" xfId="31" applyNumberFormat="1" applyFont="1" applyBorder="1">
      <alignment horizontal="right" vertical="center"/>
    </xf>
    <xf numFmtId="2" fontId="63" fillId="0" borderId="10" xfId="31" applyNumberFormat="1" applyFont="1" applyBorder="1">
      <alignment horizontal="right" vertical="center"/>
    </xf>
    <xf numFmtId="0" fontId="63" fillId="0" borderId="0" xfId="31" applyFont="1" applyAlignment="1">
      <alignment horizontal="center" vertical="center"/>
    </xf>
    <xf numFmtId="2" fontId="63" fillId="0" borderId="0" xfId="31" applyNumberFormat="1" applyFont="1" applyAlignment="1">
      <alignment horizontal="center" vertical="center"/>
    </xf>
    <xf numFmtId="168" fontId="63" fillId="0" borderId="0" xfId="31" applyNumberFormat="1" applyFont="1">
      <alignment horizontal="right" vertical="center"/>
    </xf>
    <xf numFmtId="2" fontId="63" fillId="0" borderId="1" xfId="31" applyNumberFormat="1" applyFont="1" applyBorder="1">
      <alignment horizontal="right" vertical="center"/>
    </xf>
    <xf numFmtId="184" fontId="63" fillId="0" borderId="1" xfId="31" applyNumberFormat="1" applyFont="1" applyBorder="1" applyAlignment="1">
      <alignment horizontal="right" vertical="center"/>
    </xf>
    <xf numFmtId="43" fontId="3" fillId="0" borderId="0" xfId="0" applyNumberFormat="1" applyFont="1" applyBorder="1" applyAlignment="1"/>
    <xf numFmtId="2" fontId="29" fillId="0" borderId="1" xfId="0" applyNumberFormat="1" applyFont="1" applyBorder="1" applyAlignment="1">
      <alignment horizontal="right" vertical="center"/>
    </xf>
    <xf numFmtId="0" fontId="2" fillId="0" borderId="5" xfId="0" applyFont="1" applyBorder="1">
      <alignment vertical="top"/>
    </xf>
    <xf numFmtId="2" fontId="2" fillId="0" borderId="25" xfId="35" applyNumberFormat="1" applyFont="1" applyBorder="1" applyAlignment="1"/>
    <xf numFmtId="169" fontId="2" fillId="0" borderId="5" xfId="0" applyNumberFormat="1" applyFont="1" applyBorder="1">
      <alignment vertical="top"/>
    </xf>
    <xf numFmtId="0" fontId="99" fillId="0" borderId="0" xfId="25" applyFont="1" applyAlignment="1">
      <alignment horizontal="center" vertical="center" wrapText="1"/>
    </xf>
    <xf numFmtId="0" fontId="99" fillId="0" borderId="0" xfId="25" applyFont="1" applyAlignment="1">
      <alignment horizontal="left" vertical="center" wrapText="1"/>
    </xf>
    <xf numFmtId="0" fontId="38" fillId="0" borderId="0" xfId="25" applyFont="1" applyAlignment="1">
      <alignment horizontal="left" vertical="center" wrapText="1"/>
    </xf>
    <xf numFmtId="0" fontId="99" fillId="0" borderId="1" xfId="25" applyFont="1" applyBorder="1" applyAlignment="1">
      <alignment horizontal="center" vertical="center" wrapText="1"/>
    </xf>
    <xf numFmtId="0" fontId="99" fillId="0" borderId="1" xfId="25" applyFont="1" applyBorder="1" applyAlignment="1">
      <alignment horizontal="left" vertical="center" wrapText="1"/>
    </xf>
    <xf numFmtId="0" fontId="99" fillId="0" borderId="0" xfId="25" applyFont="1" applyAlignment="1">
      <alignment vertical="center"/>
    </xf>
    <xf numFmtId="0" fontId="99" fillId="0" borderId="1" xfId="25" applyFont="1" applyBorder="1" applyAlignment="1">
      <alignment horizontal="center" vertical="center"/>
    </xf>
    <xf numFmtId="0" fontId="57" fillId="0" borderId="1" xfId="25" applyFont="1" applyBorder="1" applyAlignment="1">
      <alignment horizontal="left" vertical="center" wrapText="1"/>
    </xf>
    <xf numFmtId="0" fontId="99" fillId="10" borderId="1" xfId="25" applyFont="1" applyFill="1" applyBorder="1" applyAlignment="1">
      <alignment horizontal="center" vertical="center" wrapText="1"/>
    </xf>
    <xf numFmtId="0" fontId="99" fillId="10" borderId="1" xfId="25" applyFont="1" applyFill="1" applyBorder="1" applyAlignment="1">
      <alignment horizontal="left" vertical="center" wrapText="1"/>
    </xf>
    <xf numFmtId="10" fontId="8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vertical="top"/>
    </xf>
    <xf numFmtId="165" fontId="2" fillId="10" borderId="1" xfId="0" applyNumberFormat="1" applyFont="1" applyFill="1" applyBorder="1" applyAlignment="1">
      <alignment horizontal="right"/>
    </xf>
    <xf numFmtId="0" fontId="2" fillId="10" borderId="0" xfId="35" applyFont="1" applyFill="1" applyAlignment="1">
      <alignment horizontal="center" vertical="center"/>
    </xf>
    <xf numFmtId="0" fontId="3" fillId="10" borderId="0" xfId="35" applyFont="1" applyFill="1" applyBorder="1" applyAlignment="1">
      <alignment vertical="center"/>
    </xf>
    <xf numFmtId="0" fontId="2" fillId="10" borderId="7" xfId="35" applyFont="1" applyFill="1" applyBorder="1" applyAlignment="1">
      <alignment horizontal="center" vertical="center" wrapText="1"/>
    </xf>
    <xf numFmtId="0" fontId="2" fillId="10" borderId="10" xfId="35" applyFont="1" applyFill="1" applyBorder="1" applyAlignment="1">
      <alignment horizontal="center" vertical="center" wrapText="1"/>
    </xf>
    <xf numFmtId="0" fontId="2" fillId="10" borderId="6" xfId="35" applyFont="1" applyFill="1" applyBorder="1" applyAlignment="1">
      <alignment horizontal="center" vertical="center" wrapText="1"/>
    </xf>
    <xf numFmtId="0" fontId="2" fillId="10" borderId="5" xfId="35" applyFont="1" applyFill="1" applyBorder="1" applyAlignment="1">
      <alignment horizontal="center" vertical="center" wrapText="1"/>
    </xf>
    <xf numFmtId="0" fontId="2" fillId="10" borderId="1" xfId="35" applyFont="1" applyFill="1" applyBorder="1" applyAlignment="1">
      <alignment horizontal="center" vertical="center" wrapText="1"/>
    </xf>
    <xf numFmtId="0" fontId="2" fillId="10" borderId="1" xfId="35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3" fillId="10" borderId="1" xfId="35" applyFont="1" applyFill="1" applyBorder="1" applyAlignment="1">
      <alignment horizontal="center" vertical="center" wrapText="1"/>
    </xf>
    <xf numFmtId="0" fontId="2" fillId="10" borderId="1" xfId="35" applyFont="1" applyFill="1" applyBorder="1" applyAlignment="1">
      <alignment horizontal="center"/>
    </xf>
    <xf numFmtId="0" fontId="2" fillId="10" borderId="5" xfId="35" applyFont="1" applyFill="1" applyBorder="1" applyAlignment="1">
      <alignment horizontal="center"/>
    </xf>
    <xf numFmtId="0" fontId="2" fillId="10" borderId="1" xfId="0" applyFont="1" applyFill="1" applyBorder="1" applyAlignment="1"/>
    <xf numFmtId="0" fontId="2" fillId="10" borderId="5" xfId="0" applyFont="1" applyFill="1" applyBorder="1" applyAlignment="1"/>
    <xf numFmtId="0" fontId="3" fillId="10" borderId="5" xfId="35" applyFont="1" applyFill="1" applyBorder="1" applyAlignment="1">
      <alignment vertical="center"/>
    </xf>
    <xf numFmtId="0" fontId="3" fillId="10" borderId="12" xfId="35" applyFont="1" applyFill="1" applyBorder="1" applyAlignment="1">
      <alignment vertical="center"/>
    </xf>
    <xf numFmtId="0" fontId="2" fillId="10" borderId="1" xfId="35" applyFont="1" applyFill="1" applyBorder="1" applyAlignment="1">
      <alignment vertical="center"/>
    </xf>
    <xf numFmtId="0" fontId="2" fillId="10" borderId="1" xfId="35" applyFont="1" applyFill="1" applyBorder="1" applyAlignment="1">
      <alignment horizontal="center" vertical="center"/>
    </xf>
    <xf numFmtId="2" fontId="2" fillId="10" borderId="1" xfId="35" applyNumberFormat="1" applyFont="1" applyFill="1" applyBorder="1" applyAlignment="1">
      <alignment vertical="center"/>
    </xf>
    <xf numFmtId="2" fontId="2" fillId="10" borderId="5" xfId="35" applyNumberFormat="1" applyFont="1" applyFill="1" applyBorder="1" applyAlignment="1">
      <alignment vertical="center"/>
    </xf>
    <xf numFmtId="0" fontId="3" fillId="10" borderId="1" xfId="35" applyFont="1" applyFill="1" applyBorder="1" applyAlignment="1">
      <alignment vertical="center" wrapText="1"/>
    </xf>
    <xf numFmtId="165" fontId="2" fillId="10" borderId="1" xfId="8" applyFont="1" applyFill="1" applyBorder="1" applyAlignment="1">
      <alignment vertical="center"/>
    </xf>
    <xf numFmtId="165" fontId="2" fillId="10" borderId="5" xfId="8" applyFont="1" applyFill="1" applyBorder="1" applyAlignment="1">
      <alignment vertical="center"/>
    </xf>
    <xf numFmtId="165" fontId="3" fillId="10" borderId="1" xfId="8" applyFont="1" applyFill="1" applyBorder="1" applyAlignment="1">
      <alignment vertical="center"/>
    </xf>
    <xf numFmtId="165" fontId="3" fillId="10" borderId="5" xfId="8" applyFont="1" applyFill="1" applyBorder="1" applyAlignment="1">
      <alignment vertical="center"/>
    </xf>
    <xf numFmtId="0" fontId="3" fillId="10" borderId="1" xfId="35" applyFont="1" applyFill="1" applyBorder="1" applyAlignment="1">
      <alignment horizontal="center" vertical="center"/>
    </xf>
    <xf numFmtId="0" fontId="2" fillId="10" borderId="1" xfId="35" applyFont="1" applyFill="1" applyBorder="1" applyAlignment="1">
      <alignment vertical="center" wrapText="1"/>
    </xf>
    <xf numFmtId="9" fontId="3" fillId="10" borderId="1" xfId="41" applyFont="1" applyFill="1" applyBorder="1" applyAlignment="1">
      <alignment vertical="center"/>
    </xf>
    <xf numFmtId="172" fontId="3" fillId="10" borderId="1" xfId="35" applyNumberFormat="1" applyFont="1" applyFill="1" applyBorder="1" applyAlignment="1">
      <alignment vertical="center"/>
    </xf>
    <xf numFmtId="172" fontId="3" fillId="10" borderId="5" xfId="35" applyNumberFormat="1" applyFont="1" applyFill="1" applyBorder="1" applyAlignment="1">
      <alignment vertical="center"/>
    </xf>
    <xf numFmtId="2" fontId="1" fillId="10" borderId="1" xfId="35" applyNumberFormat="1" applyFont="1" applyFill="1" applyBorder="1" applyAlignment="1">
      <alignment vertical="center"/>
    </xf>
    <xf numFmtId="2" fontId="3" fillId="10" borderId="0" xfId="35" applyNumberFormat="1" applyFont="1" applyFill="1" applyAlignment="1">
      <alignment vertical="center"/>
    </xf>
    <xf numFmtId="2" fontId="3" fillId="10" borderId="1" xfId="35" applyNumberFormat="1" applyFont="1" applyFill="1" applyBorder="1" applyAlignment="1"/>
    <xf numFmtId="2" fontId="3" fillId="10" borderId="5" xfId="35" applyNumberFormat="1" applyFont="1" applyFill="1" applyBorder="1" applyAlignment="1"/>
    <xf numFmtId="2" fontId="1" fillId="10" borderId="1" xfId="35" applyNumberFormat="1" applyFont="1" applyFill="1" applyBorder="1" applyAlignment="1"/>
    <xf numFmtId="165" fontId="3" fillId="10" borderId="1" xfId="35" applyNumberFormat="1" applyFont="1" applyFill="1" applyBorder="1" applyAlignment="1">
      <alignment vertical="center"/>
    </xf>
    <xf numFmtId="165" fontId="2" fillId="10" borderId="1" xfId="8" applyNumberFormat="1" applyFont="1" applyFill="1" applyBorder="1" applyAlignment="1">
      <alignment vertical="center"/>
    </xf>
    <xf numFmtId="0" fontId="67" fillId="0" borderId="0" xfId="23" applyAlignment="1">
      <alignment horizontal="center"/>
    </xf>
    <xf numFmtId="0" fontId="1" fillId="0" borderId="0" xfId="39" applyFont="1" applyAlignment="1">
      <alignment horizontal="center" vertical="center"/>
    </xf>
    <xf numFmtId="0" fontId="0" fillId="0" borderId="0" xfId="0" applyBorder="1">
      <alignment vertical="top"/>
    </xf>
    <xf numFmtId="0" fontId="3" fillId="10" borderId="0" xfId="0" applyFont="1" applyFill="1" applyBorder="1">
      <alignment vertical="top"/>
    </xf>
    <xf numFmtId="0" fontId="0" fillId="0" borderId="0" xfId="0" applyBorder="1" applyAlignment="1">
      <alignment horizontal="center" vertical="top"/>
    </xf>
    <xf numFmtId="0" fontId="2" fillId="0" borderId="19" xfId="0" applyFont="1" applyBorder="1" applyAlignment="1"/>
    <xf numFmtId="0" fontId="8" fillId="3" borderId="63" xfId="0" applyFont="1" applyFill="1" applyBorder="1" applyAlignment="1">
      <alignment horizontal="center" vertical="center" wrapText="1"/>
    </xf>
    <xf numFmtId="0" fontId="3" fillId="0" borderId="63" xfId="0" applyFont="1" applyBorder="1" applyAlignment="1"/>
    <xf numFmtId="0" fontId="0" fillId="0" borderId="63" xfId="0" applyBorder="1">
      <alignment vertical="top"/>
    </xf>
    <xf numFmtId="0" fontId="3" fillId="10" borderId="63" xfId="0" applyFont="1" applyFill="1" applyBorder="1">
      <alignment vertical="top"/>
    </xf>
    <xf numFmtId="0" fontId="3" fillId="10" borderId="52" xfId="0" applyFont="1" applyFill="1" applyBorder="1">
      <alignment vertical="top"/>
    </xf>
    <xf numFmtId="0" fontId="1" fillId="10" borderId="0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5" fillId="0" borderId="0" xfId="25" applyFont="1" applyAlignment="1">
      <alignment horizontal="center"/>
    </xf>
    <xf numFmtId="185" fontId="3" fillId="0" borderId="0" xfId="0" applyNumberFormat="1" applyFont="1" applyAlignment="1"/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10" borderId="0" xfId="35" applyFont="1" applyFill="1" applyAlignment="1">
      <alignment horizontal="center" vertical="center"/>
    </xf>
    <xf numFmtId="0" fontId="2" fillId="0" borderId="0" xfId="35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0" fillId="25" borderId="85" xfId="37" applyFont="1" applyFill="1" applyBorder="1" applyAlignment="1">
      <alignment horizontal="center" vertical="center" wrapText="1" readingOrder="1"/>
    </xf>
    <xf numFmtId="0" fontId="100" fillId="25" borderId="86" xfId="37" applyFont="1" applyFill="1" applyBorder="1" applyAlignment="1">
      <alignment horizontal="center" vertical="center" wrapText="1" readingOrder="1"/>
    </xf>
    <xf numFmtId="0" fontId="100" fillId="25" borderId="87" xfId="37" applyFont="1" applyFill="1" applyBorder="1" applyAlignment="1">
      <alignment horizontal="center" vertical="center" wrapText="1" readingOrder="1"/>
    </xf>
    <xf numFmtId="0" fontId="100" fillId="25" borderId="88" xfId="37" applyFont="1" applyFill="1" applyBorder="1" applyAlignment="1">
      <alignment horizontal="center" vertical="center" wrapText="1" readingOrder="1"/>
    </xf>
    <xf numFmtId="0" fontId="39" fillId="0" borderId="5" xfId="37" applyFont="1" applyBorder="1" applyAlignment="1">
      <alignment horizontal="center" vertical="center" wrapText="1"/>
    </xf>
    <xf numFmtId="0" fontId="39" fillId="0" borderId="45" xfId="37" applyFont="1" applyBorder="1" applyAlignment="1">
      <alignment horizontal="center" vertical="center" wrapText="1"/>
    </xf>
    <xf numFmtId="2" fontId="3" fillId="0" borderId="10" xfId="37" applyNumberFormat="1" applyFont="1" applyBorder="1" applyAlignment="1">
      <alignment horizontal="center" vertical="center"/>
    </xf>
    <xf numFmtId="2" fontId="3" fillId="0" borderId="12" xfId="37" applyNumberFormat="1" applyFont="1" applyBorder="1" applyAlignment="1">
      <alignment horizontal="center" vertical="center"/>
    </xf>
    <xf numFmtId="0" fontId="71" fillId="0" borderId="0" xfId="37" applyFont="1" applyAlignment="1">
      <alignment horizontal="center"/>
    </xf>
    <xf numFmtId="0" fontId="71" fillId="0" borderId="0" xfId="37" applyFont="1" applyAlignment="1">
      <alignment horizontal="center" vertical="center"/>
    </xf>
    <xf numFmtId="2" fontId="2" fillId="0" borderId="57" xfId="37" applyNumberFormat="1" applyFont="1" applyBorder="1" applyAlignment="1">
      <alignment horizontal="center" vertical="center" wrapText="1"/>
    </xf>
    <xf numFmtId="2" fontId="2" fillId="0" borderId="43" xfId="37" applyNumberFormat="1" applyFont="1" applyBorder="1" applyAlignment="1">
      <alignment horizontal="center" vertical="center" wrapText="1"/>
    </xf>
    <xf numFmtId="0" fontId="39" fillId="0" borderId="10" xfId="37" applyFont="1" applyBorder="1" applyAlignment="1">
      <alignment horizontal="center" vertical="center" wrapText="1"/>
    </xf>
    <xf numFmtId="0" fontId="39" fillId="0" borderId="12" xfId="37" applyFont="1" applyBorder="1" applyAlignment="1">
      <alignment horizontal="center" vertical="center" wrapText="1"/>
    </xf>
    <xf numFmtId="0" fontId="39" fillId="0" borderId="10" xfId="37" applyFont="1" applyBorder="1" applyAlignment="1">
      <alignment horizontal="right" vertical="center" wrapText="1"/>
    </xf>
    <xf numFmtId="0" fontId="39" fillId="0" borderId="12" xfId="37" applyFont="1" applyBorder="1" applyAlignment="1">
      <alignment horizontal="right" vertical="center" wrapText="1"/>
    </xf>
    <xf numFmtId="2" fontId="39" fillId="0" borderId="10" xfId="37" applyNumberFormat="1" applyFont="1" applyBorder="1" applyAlignment="1">
      <alignment horizontal="right" vertical="center" wrapText="1"/>
    </xf>
    <xf numFmtId="2" fontId="39" fillId="0" borderId="12" xfId="37" applyNumberFormat="1" applyFont="1" applyBorder="1" applyAlignment="1">
      <alignment horizontal="right" vertical="center" wrapText="1"/>
    </xf>
    <xf numFmtId="2" fontId="39" fillId="0" borderId="56" xfId="37" applyNumberFormat="1" applyFont="1" applyBorder="1" applyAlignment="1">
      <alignment horizontal="center" vertical="center" wrapText="1"/>
    </xf>
    <xf numFmtId="2" fontId="39" fillId="0" borderId="0" xfId="37" applyNumberFormat="1" applyFont="1" applyBorder="1" applyAlignment="1">
      <alignment horizontal="center" vertical="center" wrapText="1"/>
    </xf>
    <xf numFmtId="2" fontId="39" fillId="0" borderId="46" xfId="37" applyNumberFormat="1" applyFont="1" applyBorder="1" applyAlignment="1">
      <alignment horizontal="center" vertical="center" wrapText="1"/>
    </xf>
    <xf numFmtId="0" fontId="101" fillId="0" borderId="0" xfId="0" applyFont="1" applyAlignment="1">
      <alignment horizontal="center"/>
    </xf>
    <xf numFmtId="0" fontId="56" fillId="19" borderId="84" xfId="0" applyFont="1" applyFill="1" applyBorder="1" applyAlignment="1">
      <alignment horizontal="center" vertical="center" wrapText="1"/>
    </xf>
    <xf numFmtId="0" fontId="56" fillId="19" borderId="89" xfId="0" applyFont="1" applyFill="1" applyBorder="1" applyAlignment="1">
      <alignment horizontal="center" vertical="center" wrapText="1"/>
    </xf>
    <xf numFmtId="0" fontId="56" fillId="19" borderId="90" xfId="0" applyFont="1" applyFill="1" applyBorder="1" applyAlignment="1">
      <alignment horizontal="center" vertical="top" wrapText="1"/>
    </xf>
    <xf numFmtId="0" fontId="56" fillId="19" borderId="91" xfId="0" applyFont="1" applyFill="1" applyBorder="1" applyAlignment="1">
      <alignment horizontal="center" vertical="top" wrapText="1"/>
    </xf>
    <xf numFmtId="0" fontId="56" fillId="19" borderId="92" xfId="0" applyFont="1" applyFill="1" applyBorder="1" applyAlignment="1">
      <alignment horizontal="center" vertical="top" wrapText="1"/>
    </xf>
    <xf numFmtId="0" fontId="56" fillId="19" borderId="82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6" fillId="19" borderId="93" xfId="0" applyFont="1" applyFill="1" applyBorder="1" applyAlignment="1">
      <alignment horizontal="center" vertical="top" wrapText="1"/>
    </xf>
    <xf numFmtId="0" fontId="2" fillId="0" borderId="54" xfId="38" applyFont="1" applyBorder="1" applyAlignment="1">
      <alignment horizontal="center" vertical="center"/>
    </xf>
    <xf numFmtId="0" fontId="2" fillId="0" borderId="40" xfId="38" applyFont="1" applyBorder="1" applyAlignment="1">
      <alignment vertical="center"/>
    </xf>
    <xf numFmtId="0" fontId="2" fillId="0" borderId="76" xfId="38" applyFont="1" applyBorder="1" applyAlignment="1">
      <alignment horizontal="center" vertical="center"/>
    </xf>
    <xf numFmtId="0" fontId="2" fillId="0" borderId="46" xfId="38" applyFont="1" applyBorder="1" applyAlignment="1">
      <alignment vertical="center"/>
    </xf>
    <xf numFmtId="0" fontId="2" fillId="2" borderId="36" xfId="38" applyFont="1" applyFill="1" applyBorder="1" applyAlignment="1">
      <alignment horizontal="center" vertical="top" wrapText="1"/>
    </xf>
    <xf numFmtId="0" fontId="2" fillId="2" borderId="67" xfId="38" applyFont="1" applyFill="1" applyBorder="1" applyAlignment="1">
      <alignment horizontal="center" vertical="top" wrapText="1"/>
    </xf>
    <xf numFmtId="0" fontId="2" fillId="2" borderId="60" xfId="38" applyFont="1" applyFill="1" applyBorder="1" applyAlignment="1">
      <alignment horizontal="center" vertical="top" wrapText="1"/>
    </xf>
    <xf numFmtId="0" fontId="3" fillId="0" borderId="0" xfId="38" applyFont="1" applyBorder="1" applyAlignment="1">
      <alignment horizontal="left" vertical="center"/>
    </xf>
    <xf numFmtId="0" fontId="3" fillId="0" borderId="0" xfId="38" applyFont="1" applyBorder="1" applyAlignment="1">
      <alignment vertical="center"/>
    </xf>
    <xf numFmtId="0" fontId="3" fillId="0" borderId="0" xfId="38" applyFont="1" applyAlignment="1">
      <alignment vertical="center"/>
    </xf>
    <xf numFmtId="0" fontId="71" fillId="0" borderId="1" xfId="23" applyFont="1" applyBorder="1" applyAlignment="1">
      <alignment horizontal="center" vertical="center"/>
    </xf>
    <xf numFmtId="0" fontId="102" fillId="13" borderId="1" xfId="23" applyFont="1" applyFill="1" applyBorder="1" applyAlignment="1">
      <alignment horizontal="center" vertical="center"/>
    </xf>
    <xf numFmtId="0" fontId="102" fillId="13" borderId="10" xfId="23" applyFont="1" applyFill="1" applyBorder="1" applyAlignment="1">
      <alignment horizontal="center" vertical="center"/>
    </xf>
    <xf numFmtId="0" fontId="71" fillId="0" borderId="5" xfId="23" applyFont="1" applyBorder="1" applyAlignment="1">
      <alignment horizontal="center" vertical="center" wrapText="1"/>
    </xf>
    <xf numFmtId="0" fontId="71" fillId="0" borderId="45" xfId="23" applyFont="1" applyBorder="1" applyAlignment="1">
      <alignment horizontal="center" vertical="center" wrapText="1"/>
    </xf>
    <xf numFmtId="0" fontId="71" fillId="0" borderId="1" xfId="23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102" fillId="13" borderId="5" xfId="0" applyFont="1" applyFill="1" applyBorder="1" applyAlignment="1">
      <alignment horizontal="center" vertical="center"/>
    </xf>
    <xf numFmtId="0" fontId="102" fillId="13" borderId="50" xfId="0" applyFont="1" applyFill="1" applyBorder="1" applyAlignment="1">
      <alignment horizontal="center" vertical="center"/>
    </xf>
    <xf numFmtId="0" fontId="102" fillId="13" borderId="45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/>
    </xf>
    <xf numFmtId="0" fontId="71" fillId="0" borderId="50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0" fontId="71" fillId="0" borderId="5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63" fillId="0" borderId="50" xfId="31" applyNumberFormat="1" applyFont="1" applyBorder="1" applyAlignment="1">
      <alignment horizontal="center" vertical="center"/>
    </xf>
    <xf numFmtId="2" fontId="63" fillId="0" borderId="12" xfId="31" applyNumberFormat="1" applyFont="1" applyBorder="1" applyAlignment="1">
      <alignment horizontal="center" wrapText="1"/>
    </xf>
    <xf numFmtId="2" fontId="63" fillId="0" borderId="12" xfId="31" applyNumberFormat="1" applyFont="1" applyBorder="1" applyAlignment="1">
      <alignment horizontal="center"/>
    </xf>
    <xf numFmtId="2" fontId="63" fillId="0" borderId="1" xfId="31" applyNumberFormat="1" applyFont="1" applyBorder="1" applyAlignment="1">
      <alignment horizontal="center" vertical="center" wrapText="1"/>
    </xf>
    <xf numFmtId="2" fontId="62" fillId="0" borderId="0" xfId="31" applyNumberFormat="1" applyFont="1" applyAlignment="1">
      <alignment horizontal="center"/>
    </xf>
    <xf numFmtId="2" fontId="62" fillId="0" borderId="5" xfId="31" applyNumberFormat="1" applyFont="1" applyBorder="1" applyAlignment="1">
      <alignment horizontal="center"/>
    </xf>
    <xf numFmtId="2" fontId="62" fillId="0" borderId="50" xfId="31" applyNumberFormat="1" applyFont="1" applyBorder="1" applyAlignment="1">
      <alignment horizontal="center"/>
    </xf>
    <xf numFmtId="2" fontId="62" fillId="0" borderId="45" xfId="31" applyNumberFormat="1" applyFont="1" applyBorder="1" applyAlignment="1">
      <alignment horizontal="center"/>
    </xf>
    <xf numFmtId="0" fontId="63" fillId="0" borderId="10" xfId="31" applyFont="1" applyBorder="1" applyAlignment="1">
      <alignment horizontal="center" vertical="center" wrapText="1"/>
    </xf>
    <xf numFmtId="0" fontId="63" fillId="0" borderId="12" xfId="31" applyFont="1" applyBorder="1" applyAlignment="1">
      <alignment horizontal="center" vertical="center" wrapText="1"/>
    </xf>
    <xf numFmtId="2" fontId="63" fillId="0" borderId="10" xfId="31" applyNumberFormat="1" applyFont="1" applyBorder="1" applyAlignment="1">
      <alignment horizontal="center" vertical="center" wrapText="1"/>
    </xf>
    <xf numFmtId="2" fontId="63" fillId="0" borderId="12" xfId="31" applyNumberFormat="1" applyFont="1" applyBorder="1" applyAlignment="1">
      <alignment horizontal="center" vertical="center" wrapText="1"/>
    </xf>
    <xf numFmtId="2" fontId="63" fillId="0" borderId="5" xfId="31" applyNumberFormat="1" applyFont="1" applyBorder="1" applyAlignment="1">
      <alignment horizontal="center" vertical="center"/>
    </xf>
    <xf numFmtId="0" fontId="2" fillId="0" borderId="54" xfId="39" applyFont="1" applyBorder="1" applyAlignment="1">
      <alignment horizontal="center" vertical="center"/>
    </xf>
    <xf numFmtId="0" fontId="2" fillId="0" borderId="40" xfId="39" applyFont="1" applyBorder="1" applyAlignment="1">
      <alignment vertical="center"/>
    </xf>
    <xf numFmtId="0" fontId="2" fillId="0" borderId="77" xfId="39" applyFont="1" applyBorder="1" applyAlignment="1">
      <alignment horizontal="center" vertical="center"/>
    </xf>
    <xf numFmtId="0" fontId="2" fillId="0" borderId="0" xfId="39" applyFont="1" applyBorder="1" applyAlignment="1">
      <alignment vertical="center"/>
    </xf>
    <xf numFmtId="0" fontId="2" fillId="2" borderId="36" xfId="39" applyFont="1" applyFill="1" applyBorder="1" applyAlignment="1">
      <alignment horizontal="center" vertical="top" wrapText="1"/>
    </xf>
    <xf numFmtId="0" fontId="2" fillId="2" borderId="67" xfId="39" applyFont="1" applyFill="1" applyBorder="1" applyAlignment="1">
      <alignment horizontal="center" vertical="top" wrapText="1"/>
    </xf>
    <xf numFmtId="0" fontId="2" fillId="2" borderId="60" xfId="39" applyFont="1" applyFill="1" applyBorder="1" applyAlignment="1">
      <alignment horizontal="center" vertical="top" wrapText="1"/>
    </xf>
    <xf numFmtId="0" fontId="1" fillId="0" borderId="12" xfId="39" applyFont="1" applyBorder="1" applyAlignment="1">
      <alignment horizontal="left" vertical="center"/>
    </xf>
    <xf numFmtId="0" fontId="1" fillId="0" borderId="12" xfId="39" applyFont="1" applyBorder="1" applyAlignment="1">
      <alignment vertical="center"/>
    </xf>
    <xf numFmtId="0" fontId="1" fillId="0" borderId="0" xfId="39" applyFont="1" applyBorder="1" applyAlignment="1">
      <alignment vertical="center"/>
    </xf>
    <xf numFmtId="0" fontId="1" fillId="0" borderId="0" xfId="39" applyFont="1" applyAlignment="1">
      <alignment vertical="center"/>
    </xf>
    <xf numFmtId="0" fontId="2" fillId="2" borderId="4" xfId="39" applyFont="1" applyFill="1" applyBorder="1" applyAlignment="1">
      <alignment horizontal="center" vertical="top" wrapText="1"/>
    </xf>
    <xf numFmtId="0" fontId="2" fillId="2" borderId="30" xfId="39" applyFont="1" applyFill="1" applyBorder="1" applyAlignment="1">
      <alignment horizontal="center" vertical="top" wrapText="1"/>
    </xf>
    <xf numFmtId="0" fontId="2" fillId="2" borderId="26" xfId="39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18" borderId="65" xfId="0" applyFont="1" applyFill="1" applyBorder="1" applyAlignment="1">
      <alignment horizontal="center" vertical="center" wrapText="1"/>
    </xf>
    <xf numFmtId="0" fontId="3" fillId="18" borderId="56" xfId="0" applyFont="1" applyFill="1" applyBorder="1" applyAlignment="1">
      <alignment horizontal="center" vertical="center" wrapText="1"/>
    </xf>
    <xf numFmtId="0" fontId="3" fillId="18" borderId="71" xfId="0" applyFont="1" applyFill="1" applyBorder="1" applyAlignment="1">
      <alignment horizontal="justify" vertical="center" wrapText="1"/>
    </xf>
    <xf numFmtId="0" fontId="3" fillId="18" borderId="31" xfId="0" applyFont="1" applyFill="1" applyBorder="1" applyAlignment="1">
      <alignment horizontal="justify" vertical="center" wrapText="1"/>
    </xf>
    <xf numFmtId="0" fontId="76" fillId="0" borderId="45" xfId="0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6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/>
    </xf>
    <xf numFmtId="0" fontId="6" fillId="2" borderId="30" xfId="0" applyFont="1" applyFill="1" applyBorder="1" applyAlignment="1">
      <alignment horizontal="center" vertical="top"/>
    </xf>
    <xf numFmtId="0" fontId="6" fillId="2" borderId="26" xfId="0" applyFont="1" applyFill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3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5" fillId="23" borderId="69" xfId="0" applyFont="1" applyFill="1" applyBorder="1" applyAlignment="1">
      <alignment horizontal="center" vertical="top" wrapText="1"/>
    </xf>
    <xf numFmtId="0" fontId="5" fillId="23" borderId="47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top"/>
    </xf>
    <xf numFmtId="0" fontId="6" fillId="2" borderId="62" xfId="0" applyFont="1" applyFill="1" applyBorder="1" applyAlignment="1">
      <alignment horizontal="center" vertical="top"/>
    </xf>
    <xf numFmtId="0" fontId="3" fillId="0" borderId="45" xfId="0" applyFont="1" applyBorder="1" applyAlignment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0" fillId="18" borderId="5" xfId="0" applyFill="1" applyBorder="1" applyAlignment="1">
      <alignment horizontal="center" vertical="top"/>
    </xf>
    <xf numFmtId="0" fontId="0" fillId="18" borderId="50" xfId="0" applyFill="1" applyBorder="1" applyAlignment="1">
      <alignment horizontal="center" vertical="top"/>
    </xf>
    <xf numFmtId="0" fontId="0" fillId="18" borderId="45" xfId="0" applyFill="1" applyBorder="1" applyAlignment="1">
      <alignment horizontal="center" vertical="top"/>
    </xf>
    <xf numFmtId="0" fontId="6" fillId="18" borderId="75" xfId="40" applyFont="1" applyFill="1" applyBorder="1" applyAlignment="1">
      <alignment horizontal="center" wrapText="1"/>
    </xf>
    <xf numFmtId="0" fontId="6" fillId="18" borderId="64" xfId="4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5" fillId="18" borderId="4" xfId="40" applyFont="1" applyFill="1" applyBorder="1" applyAlignment="1">
      <alignment horizontal="center"/>
    </xf>
    <xf numFmtId="0" fontId="5" fillId="18" borderId="3" xfId="40" applyFont="1" applyFill="1" applyBorder="1" applyAlignment="1">
      <alignment horizontal="center"/>
    </xf>
    <xf numFmtId="165" fontId="5" fillId="0" borderId="1" xfId="40" applyNumberFormat="1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 vertical="top"/>
    </xf>
    <xf numFmtId="0" fontId="1" fillId="10" borderId="50" xfId="0" applyFont="1" applyFill="1" applyBorder="1" applyAlignment="1">
      <alignment horizontal="center" vertical="top"/>
    </xf>
    <xf numFmtId="0" fontId="1" fillId="10" borderId="45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6" xfId="0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8" fillId="0" borderId="56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0" fontId="14" fillId="0" borderId="54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14" fillId="0" borderId="5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7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 vertical="top"/>
    </xf>
    <xf numFmtId="0" fontId="6" fillId="11" borderId="1" xfId="0" applyFont="1" applyFill="1" applyBorder="1" applyAlignment="1">
      <alignment horizontal="center" vertical="top"/>
    </xf>
    <xf numFmtId="0" fontId="6" fillId="11" borderId="6" xfId="0" applyFont="1" applyFill="1" applyBorder="1" applyAlignment="1">
      <alignment horizontal="center" vertical="top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5" fillId="11" borderId="1" xfId="0" applyFont="1" applyFill="1" applyBorder="1" applyAlignment="1">
      <alignment horizontal="center" vertical="top" wrapText="1"/>
    </xf>
    <xf numFmtId="0" fontId="6" fillId="2" borderId="36" xfId="0" applyFont="1" applyFill="1" applyBorder="1" applyAlignment="1">
      <alignment horizontal="center" vertical="top"/>
    </xf>
    <xf numFmtId="0" fontId="6" fillId="2" borderId="67" xfId="0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6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11" borderId="6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5" xfId="0" applyFont="1" applyBorder="1" applyAlignment="1"/>
    <xf numFmtId="0" fontId="3" fillId="0" borderId="44" xfId="0" applyFont="1" applyBorder="1" applyAlignment="1"/>
    <xf numFmtId="0" fontId="3" fillId="0" borderId="32" xfId="0" applyFont="1" applyBorder="1" applyAlignment="1"/>
    <xf numFmtId="0" fontId="3" fillId="0" borderId="57" xfId="0" applyFont="1" applyBorder="1" applyAlignment="1"/>
    <xf numFmtId="0" fontId="3" fillId="0" borderId="43" xfId="0" applyFont="1" applyBorder="1" applyAlignment="1"/>
    <xf numFmtId="0" fontId="3" fillId="0" borderId="13" xfId="0" applyFont="1" applyBorder="1" applyAlignment="1"/>
    <xf numFmtId="0" fontId="3" fillId="0" borderId="50" xfId="0" applyFont="1" applyBorder="1" applyAlignment="1">
      <alignment horizontal="center"/>
    </xf>
    <xf numFmtId="0" fontId="3" fillId="0" borderId="5" xfId="0" applyFont="1" applyBorder="1" applyAlignment="1"/>
    <xf numFmtId="0" fontId="3" fillId="0" borderId="45" xfId="0" applyFont="1" applyBorder="1" applyAlignment="1"/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50" xfId="0" applyFont="1" applyBorder="1" applyAlignment="1">
      <alignment horizontal="center"/>
    </xf>
    <xf numFmtId="0" fontId="2" fillId="0" borderId="50" xfId="0" applyFont="1" applyBorder="1" applyAlignment="1"/>
    <xf numFmtId="0" fontId="2" fillId="0" borderId="45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1" fillId="0" borderId="1" xfId="34" applyFont="1" applyBorder="1" applyAlignment="1">
      <alignment horizontal="center" wrapText="1"/>
    </xf>
    <xf numFmtId="0" fontId="30" fillId="0" borderId="0" xfId="34" applyFont="1" applyAlignment="1">
      <alignment horizontal="left" wrapText="1"/>
    </xf>
    <xf numFmtId="0" fontId="29" fillId="0" borderId="0" xfId="34" applyFont="1" applyAlignment="1">
      <alignment horizontal="left" wrapText="1"/>
    </xf>
    <xf numFmtId="0" fontId="30" fillId="0" borderId="0" xfId="34" applyFont="1" applyAlignment="1">
      <alignment horizontal="center"/>
    </xf>
    <xf numFmtId="0" fontId="34" fillId="0" borderId="0" xfId="34" applyFont="1" applyAlignment="1">
      <alignment horizontal="center"/>
    </xf>
    <xf numFmtId="0" fontId="32" fillId="0" borderId="0" xfId="34" applyFont="1" applyAlignment="1">
      <alignment wrapText="1"/>
    </xf>
    <xf numFmtId="0" fontId="34" fillId="0" borderId="1" xfId="25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1" fillId="0" borderId="0" xfId="0" applyFont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56" xfId="0" applyFont="1" applyBorder="1" applyAlignment="1">
      <alignment wrapText="1"/>
    </xf>
    <xf numFmtId="0" fontId="2" fillId="0" borderId="57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Check Cell" xfId="1" builtinId="23"/>
    <cellStyle name="Comma" xfId="2" builtinId="3"/>
    <cellStyle name="Comma 10" xfId="3"/>
    <cellStyle name="Comma 11" xfId="4"/>
    <cellStyle name="Comma 12" xfId="5"/>
    <cellStyle name="Comma 13" xfId="6"/>
    <cellStyle name="Comma 2" xfId="7"/>
    <cellStyle name="Comma 3" xfId="8"/>
    <cellStyle name="Comma 4" xfId="9"/>
    <cellStyle name="Comma 5" xfId="10"/>
    <cellStyle name="Comma 5 2" xfId="11"/>
    <cellStyle name="Comma 5 2 2" xfId="12"/>
    <cellStyle name="Comma 6" xfId="13"/>
    <cellStyle name="Comma 7" xfId="14"/>
    <cellStyle name="Comma 8" xfId="15"/>
    <cellStyle name="Comma 9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17" xfId="24"/>
    <cellStyle name="Normal 18" xfId="25"/>
    <cellStyle name="Normal 19" xfId="26"/>
    <cellStyle name="Normal 2" xfId="27"/>
    <cellStyle name="Normal 2 2" xfId="28"/>
    <cellStyle name="Normal 2 2 2" xfId="29"/>
    <cellStyle name="Normal 2 3" xfId="30"/>
    <cellStyle name="Normal 20" xfId="31"/>
    <cellStyle name="Normal 3" xfId="32"/>
    <cellStyle name="Normal 4" xfId="33"/>
    <cellStyle name="Normal 5" xfId="34"/>
    <cellStyle name="Normal 6" xfId="35"/>
    <cellStyle name="Normal 7" xfId="36"/>
    <cellStyle name="Normal 8" xfId="37"/>
    <cellStyle name="Normal 9" xfId="38"/>
    <cellStyle name="Normal 9 2" xfId="39"/>
    <cellStyle name="Normal_Financial det. 1" xfId="40"/>
    <cellStyle name="Percent" xfId="41" builtinId="5"/>
    <cellStyle name="Percent 2" xfId="42"/>
    <cellStyle name="Percent 3" xfId="43"/>
    <cellStyle name="Percent 4" xfId="44"/>
    <cellStyle name="Percent 5" xfId="45"/>
    <cellStyle name="Style 1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5.xml"/><Relationship Id="rId50" Type="http://schemas.openxmlformats.org/officeDocument/2006/relationships/externalLink" Target="externalLinks/externalLink8.xml"/><Relationship Id="rId55" Type="http://schemas.openxmlformats.org/officeDocument/2006/relationships/externalLink" Target="externalLinks/externalLink13.xml"/><Relationship Id="rId63" Type="http://schemas.openxmlformats.org/officeDocument/2006/relationships/externalLink" Target="externalLinks/externalLink21.xml"/><Relationship Id="rId68" Type="http://schemas.openxmlformats.org/officeDocument/2006/relationships/externalLink" Target="externalLinks/externalLink26.xml"/><Relationship Id="rId76" Type="http://schemas.openxmlformats.org/officeDocument/2006/relationships/externalLink" Target="externalLinks/externalLink34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3.xml"/><Relationship Id="rId53" Type="http://schemas.openxmlformats.org/officeDocument/2006/relationships/externalLink" Target="externalLinks/externalLink11.xml"/><Relationship Id="rId58" Type="http://schemas.openxmlformats.org/officeDocument/2006/relationships/externalLink" Target="externalLinks/externalLink16.xml"/><Relationship Id="rId66" Type="http://schemas.openxmlformats.org/officeDocument/2006/relationships/externalLink" Target="externalLinks/externalLink24.xml"/><Relationship Id="rId74" Type="http://schemas.openxmlformats.org/officeDocument/2006/relationships/externalLink" Target="externalLinks/externalLink32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19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52" Type="http://schemas.openxmlformats.org/officeDocument/2006/relationships/externalLink" Target="externalLinks/externalLink10.xml"/><Relationship Id="rId60" Type="http://schemas.openxmlformats.org/officeDocument/2006/relationships/externalLink" Target="externalLinks/externalLink18.xml"/><Relationship Id="rId65" Type="http://schemas.openxmlformats.org/officeDocument/2006/relationships/externalLink" Target="externalLinks/externalLink23.xml"/><Relationship Id="rId73" Type="http://schemas.openxmlformats.org/officeDocument/2006/relationships/externalLink" Target="externalLinks/externalLink31.xml"/><Relationship Id="rId78" Type="http://schemas.openxmlformats.org/officeDocument/2006/relationships/externalLink" Target="externalLinks/externalLink36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externalLink" Target="externalLinks/externalLink6.xml"/><Relationship Id="rId56" Type="http://schemas.openxmlformats.org/officeDocument/2006/relationships/externalLink" Target="externalLinks/externalLink14.xml"/><Relationship Id="rId64" Type="http://schemas.openxmlformats.org/officeDocument/2006/relationships/externalLink" Target="externalLinks/externalLink22.xml"/><Relationship Id="rId69" Type="http://schemas.openxmlformats.org/officeDocument/2006/relationships/externalLink" Target="externalLinks/externalLink27.xml"/><Relationship Id="rId77" Type="http://schemas.openxmlformats.org/officeDocument/2006/relationships/externalLink" Target="externalLinks/externalLink3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9.xml"/><Relationship Id="rId72" Type="http://schemas.openxmlformats.org/officeDocument/2006/relationships/externalLink" Target="externalLinks/externalLink30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4.xml"/><Relationship Id="rId59" Type="http://schemas.openxmlformats.org/officeDocument/2006/relationships/externalLink" Target="externalLinks/externalLink17.xml"/><Relationship Id="rId67" Type="http://schemas.openxmlformats.org/officeDocument/2006/relationships/externalLink" Target="externalLinks/externalLink25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2.xml"/><Relationship Id="rId62" Type="http://schemas.openxmlformats.org/officeDocument/2006/relationships/externalLink" Target="externalLinks/externalLink20.xml"/><Relationship Id="rId70" Type="http://schemas.openxmlformats.org/officeDocument/2006/relationships/externalLink" Target="externalLinks/externalLink28.xml"/><Relationship Id="rId75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7.xml"/><Relationship Id="rId57" Type="http://schemas.openxmlformats.org/officeDocument/2006/relationships/externalLink" Target="externalLinks/externalLink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190500</xdr:rowOff>
    </xdr:from>
    <xdr:to>
      <xdr:col>5</xdr:col>
      <xdr:colOff>0</xdr:colOff>
      <xdr:row>7</xdr:row>
      <xdr:rowOff>200025</xdr:rowOff>
    </xdr:to>
    <xdr:sp macro="" textlink="">
      <xdr:nvSpPr>
        <xdr:cNvPr id="131311" name="Line 1"/>
        <xdr:cNvSpPr>
          <a:spLocks noChangeShapeType="1"/>
        </xdr:cNvSpPr>
      </xdr:nvSpPr>
      <xdr:spPr bwMode="auto">
        <a:xfrm>
          <a:off x="4276725" y="1543050"/>
          <a:ext cx="0" cy="9525"/>
        </a:xfrm>
        <a:prstGeom prst="line">
          <a:avLst/>
        </a:prstGeom>
        <a:noFill/>
        <a:ln w="25400">
          <a:solidFill>
            <a:srgbClr val="000000"/>
          </a:solidFill>
          <a:round/>
          <a:headEnd type="none" w="lg" len="lg"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22</xdr:row>
      <xdr:rowOff>9525</xdr:rowOff>
    </xdr:from>
    <xdr:to>
      <xdr:col>37</xdr:col>
      <xdr:colOff>0</xdr:colOff>
      <xdr:row>27</xdr:row>
      <xdr:rowOff>9525</xdr:rowOff>
    </xdr:to>
    <xdr:sp macro="" textlink="">
      <xdr:nvSpPr>
        <xdr:cNvPr id="131312" name="Line 13"/>
        <xdr:cNvSpPr>
          <a:spLocks noChangeShapeType="1"/>
        </xdr:cNvSpPr>
      </xdr:nvSpPr>
      <xdr:spPr bwMode="auto">
        <a:xfrm>
          <a:off x="26203275" y="5972175"/>
          <a:ext cx="0" cy="143827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Consolidation_2017-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/AGM/Jayanthi_PP/Details%20of%20PP_New/2017-18/UPCL/UPCL%20bill%20-abstract%2017-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jayanthi/Details%20of%20PP_New/2011-12/Consolidation_2011_12_new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Consolidation_2018-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Projections%20%20%20for%20FY%2020%20-%20Copy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FY-18_DC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esktop/MYT%20-EXCEL-revised%20(1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DCB%20FY%2018-19%20(Upto%20Sept%202018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AGRFYMYT-5with%20proj%20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Load%20forecasting-5%20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Load%20forecasting%20FY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Bussiness%20plan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FY-16/ERC/Final%20copy%20of%20tariff%20filing/Print%20copy/Harini/FY%2017/ERC%20filing/ANNUAL_REPORT_BESCOM_FY2015-16%20-%20Cop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MYT%20-EXCEL-17.11.2018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FY-16/ERC/Final%20copy%20of%20tariff%20filing/Print%20copy/DOCUME~1/ADMINI~1/LOCALS~1/Temp/Rar$DI98.859/DOCUME~1/ADMINI~1/LOCALS~1/Temp/Temporary%20Directory%201%20for%20APR-FY-11.zip/CPI_WP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FY-16/ERC/Final%20copy%20of%20tariff%20filing/Print%20copy/work%20shee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MYT%20-EXCEL-filing%20%202019-final-09.10.201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REV%20DT%2018-19%20TO%20RA%20SECTION%20%20DT%2016.11.1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D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MYT-%205th%20control%20period/MYT%20-EXCEL-revised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MYT%20-EXCEL-filing%20%202019-FINAL%20FINAL-21.11.201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tion_2019-20-differ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YT%20-EXCEL-filing%20%202019-final-19.10.201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19-20%20Accounts%20-%20CAG/FY%202019-20%20Accounts%20-%20CAG/BESCOM%20Balance%20sheet%20FY2019-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-filing%20truing%20up%20of%20FY-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Other%20issues/Worksheet-D23-KERC-addl%20surcharge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Consolidation_2020-2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Actual%20Power%20purchase%20details%20from%20April%2020%20to%20Sept%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Energy%20projection%20%20and%20cost%20%20for%20FY%202021-21%20%20REDUCED%20%20DUE%20TO%20EXCESS%20GENERATION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variance/pp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M%20RA/Downloads/MYT%20-EXCEL-17.11.201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ERC%20desa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Kerc-excel-sheets-FY-19-17.11.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Balance%20sheet%20FY2017-18%20%20ver.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/AGM/Jayanthi_PP/Details%20of%20PP_New/2017-18/KPCL%20Bills%20statemen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OWMYA-AGM%20(RA)FY-2018-19/FY-18/MYT-2019/Thermal%20stations%20Fc%20&amp;%20V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0"/>
      <sheetName val="Sheet19"/>
      <sheetName val="Sheet1"/>
      <sheetName val="Sheet10"/>
      <sheetName val="Sheet14"/>
      <sheetName val="values"/>
      <sheetName val="Sheet9"/>
      <sheetName val="Sheet4"/>
      <sheetName val="Sheet5"/>
      <sheetName val="Sheet6"/>
      <sheetName val="70 series"/>
      <sheetName val="41 series"/>
      <sheetName val="D1"/>
      <sheetName val="62.918"/>
      <sheetName val="Schedule 13"/>
      <sheetName val="Schedule 16"/>
      <sheetName val="Sheet15"/>
      <sheetName val="Sheet23"/>
      <sheetName val="Actuals apprd-D1"/>
      <sheetName val="Sheet21"/>
      <sheetName val="Sheet18"/>
      <sheetName val="Sheet17"/>
      <sheetName val="Sheet3"/>
      <sheetName val="monthwise"/>
      <sheetName val="Source wise"/>
      <sheetName val="Sheet2"/>
      <sheetName val="Sheet7"/>
      <sheetName val="Sheet8"/>
      <sheetName val="without prov"/>
      <sheetName val="Sheet11"/>
      <sheetName val="Sheet12"/>
      <sheetName val="Sheet13"/>
      <sheetName val="Sheet16"/>
      <sheetName val="Sheet22"/>
      <sheetName val="upto dec 17"/>
      <sheetName val="Sheet24"/>
      <sheetName val="TB"/>
      <sheetName val="values 18"/>
      <sheetName val="Sheet26"/>
    </sheetNames>
    <sheetDataSet>
      <sheetData sheetId="0"/>
      <sheetData sheetId="1"/>
      <sheetData sheetId="2">
        <row r="5">
          <cell r="BD5">
            <v>1376134307.7893999</v>
          </cell>
        </row>
        <row r="6">
          <cell r="BD6">
            <v>1247551259.3309</v>
          </cell>
        </row>
        <row r="7">
          <cell r="BD7">
            <v>361894624.1437</v>
          </cell>
        </row>
        <row r="8">
          <cell r="BD8">
            <v>694735782.29050004</v>
          </cell>
        </row>
        <row r="10">
          <cell r="BD10">
            <v>365319621.0036</v>
          </cell>
        </row>
        <row r="11">
          <cell r="BD11">
            <v>222723150.67219999</v>
          </cell>
        </row>
        <row r="12">
          <cell r="BD12">
            <v>511433618.33740002</v>
          </cell>
        </row>
        <row r="13">
          <cell r="BD13">
            <v>642829660.36589992</v>
          </cell>
        </row>
        <row r="14">
          <cell r="BD14">
            <v>598546584.23720002</v>
          </cell>
        </row>
        <row r="16">
          <cell r="BD16">
            <v>98772698.341099992</v>
          </cell>
        </row>
        <row r="17">
          <cell r="BD17">
            <v>603655005.41930008</v>
          </cell>
        </row>
        <row r="18">
          <cell r="BD18">
            <v>416502024.15090007</v>
          </cell>
        </row>
        <row r="19">
          <cell r="BD19">
            <v>24583236.969300002</v>
          </cell>
        </row>
        <row r="20">
          <cell r="BD20">
            <v>431896617.42110008</v>
          </cell>
        </row>
        <row r="21">
          <cell r="BD21">
            <v>848032066</v>
          </cell>
        </row>
        <row r="22">
          <cell r="BD22">
            <v>42844019.799999997</v>
          </cell>
        </row>
        <row r="23">
          <cell r="BD23">
            <v>8705216.8890000004</v>
          </cell>
          <cell r="BG23">
            <v>10357576</v>
          </cell>
        </row>
        <row r="24">
          <cell r="BD24">
            <v>233057274.89000398</v>
          </cell>
          <cell r="BG24">
            <v>893824838</v>
          </cell>
        </row>
        <row r="25">
          <cell r="BD25">
            <v>1337882675.2246001</v>
          </cell>
        </row>
        <row r="26">
          <cell r="BD26">
            <v>832250551.76110005</v>
          </cell>
        </row>
        <row r="27">
          <cell r="BD27">
            <v>168719760.5923</v>
          </cell>
          <cell r="BG27">
            <v>244209527</v>
          </cell>
        </row>
        <row r="30">
          <cell r="BD30">
            <v>3336791875.5092049</v>
          </cell>
          <cell r="BG30">
            <v>16766485659.010929</v>
          </cell>
        </row>
        <row r="31">
          <cell r="BD31">
            <v>0</v>
          </cell>
        </row>
        <row r="34">
          <cell r="BD34">
            <v>87798054.599999994</v>
          </cell>
        </row>
        <row r="35">
          <cell r="BD35">
            <v>83200406.022100016</v>
          </cell>
        </row>
        <row r="36">
          <cell r="BD36">
            <v>22757666.622680001</v>
          </cell>
        </row>
        <row r="37">
          <cell r="BD37">
            <v>18335296.298780002</v>
          </cell>
        </row>
        <row r="39">
          <cell r="BG39">
            <v>-5292456</v>
          </cell>
        </row>
        <row r="42">
          <cell r="BD42">
            <v>178080017.34799999</v>
          </cell>
        </row>
        <row r="43">
          <cell r="BD43">
            <v>466692167.70800006</v>
          </cell>
        </row>
        <row r="44">
          <cell r="BD44">
            <v>358651837.02799988</v>
          </cell>
        </row>
        <row r="45">
          <cell r="BD45">
            <v>87504914.27000013</v>
          </cell>
        </row>
        <row r="46">
          <cell r="BD46">
            <v>77352027.289999813</v>
          </cell>
        </row>
        <row r="47">
          <cell r="BD47">
            <v>129099050.0999999</v>
          </cell>
        </row>
        <row r="48">
          <cell r="BD48">
            <v>22375179.899999999</v>
          </cell>
        </row>
        <row r="49">
          <cell r="BD49">
            <v>7135289.7640000004</v>
          </cell>
        </row>
        <row r="50">
          <cell r="BD50">
            <v>205216912.44000018</v>
          </cell>
        </row>
        <row r="59">
          <cell r="BD59">
            <v>5489426434.5</v>
          </cell>
        </row>
        <row r="60">
          <cell r="BD60">
            <v>799043131</v>
          </cell>
        </row>
        <row r="61">
          <cell r="BD61">
            <v>587172064.41000009</v>
          </cell>
        </row>
        <row r="62">
          <cell r="BD62">
            <v>812900114.78999996</v>
          </cell>
        </row>
        <row r="63">
          <cell r="BD63">
            <v>359168390.60000002</v>
          </cell>
        </row>
        <row r="64">
          <cell r="BD64">
            <v>404935277.20000005</v>
          </cell>
          <cell r="BG64">
            <v>2836411616.6258831</v>
          </cell>
        </row>
        <row r="66">
          <cell r="BD66">
            <v>3622800</v>
          </cell>
          <cell r="BG66">
            <v>21665640</v>
          </cell>
        </row>
        <row r="70">
          <cell r="BD70">
            <v>6924092.0000000019</v>
          </cell>
          <cell r="BG70">
            <v>24808283.241043665</v>
          </cell>
        </row>
        <row r="112">
          <cell r="BD112">
            <v>574636107.39339995</v>
          </cell>
          <cell r="BG112">
            <v>2562989813.1700001</v>
          </cell>
        </row>
        <row r="122">
          <cell r="BD122">
            <v>63879037</v>
          </cell>
          <cell r="BG122">
            <v>346820656</v>
          </cell>
        </row>
        <row r="137">
          <cell r="BD137">
            <v>342538681.25</v>
          </cell>
          <cell r="BG137">
            <v>1111750255</v>
          </cell>
        </row>
        <row r="476">
          <cell r="BD476">
            <v>2501279539.3500004</v>
          </cell>
          <cell r="BG476">
            <v>9070709738.3999996</v>
          </cell>
        </row>
        <row r="478">
          <cell r="BD478">
            <v>62640589.231128</v>
          </cell>
          <cell r="BG478">
            <v>666626884</v>
          </cell>
        </row>
        <row r="479">
          <cell r="BD479">
            <v>137763000.86593792</v>
          </cell>
          <cell r="BG479">
            <v>727876657</v>
          </cell>
        </row>
        <row r="607">
          <cell r="BD607">
            <v>60016496</v>
          </cell>
          <cell r="BG607">
            <v>0</v>
          </cell>
        </row>
        <row r="608">
          <cell r="BD608">
            <v>1205119431.747066</v>
          </cell>
          <cell r="BG608">
            <v>6909054128.7539997</v>
          </cell>
        </row>
        <row r="611">
          <cell r="BD611">
            <v>57947042.129199997</v>
          </cell>
          <cell r="BG611">
            <v>231451481</v>
          </cell>
        </row>
        <row r="619">
          <cell r="BD619">
            <v>671221410.5</v>
          </cell>
          <cell r="BG619">
            <v>2787285347</v>
          </cell>
        </row>
        <row r="620">
          <cell r="BD620">
            <v>300567462</v>
          </cell>
          <cell r="BG620">
            <v>1238129106</v>
          </cell>
        </row>
        <row r="626">
          <cell r="BD626">
            <v>823741303</v>
          </cell>
          <cell r="BG626">
            <v>3313774991</v>
          </cell>
        </row>
        <row r="627">
          <cell r="BD627">
            <v>10652419.90416</v>
          </cell>
          <cell r="BG627">
            <v>33637254</v>
          </cell>
        </row>
        <row r="628">
          <cell r="BD628">
            <v>99586558</v>
          </cell>
          <cell r="BG628">
            <v>403289465</v>
          </cell>
        </row>
        <row r="630">
          <cell r="BD630">
            <v>0</v>
          </cell>
        </row>
        <row r="631">
          <cell r="BD631">
            <v>11973551.333333334</v>
          </cell>
          <cell r="BG631">
            <v>50262254</v>
          </cell>
        </row>
        <row r="644">
          <cell r="BG644">
            <v>10162274503</v>
          </cell>
        </row>
        <row r="646">
          <cell r="BG646">
            <v>13585095910</v>
          </cell>
        </row>
        <row r="649">
          <cell r="BG649">
            <v>113730284</v>
          </cell>
        </row>
      </sheetData>
      <sheetData sheetId="3">
        <row r="7">
          <cell r="D7">
            <v>305363666</v>
          </cell>
        </row>
      </sheetData>
      <sheetData sheetId="4"/>
      <sheetData sheetId="5"/>
      <sheetData sheetId="6"/>
      <sheetData sheetId="7">
        <row r="31">
          <cell r="C31">
            <v>0</v>
          </cell>
        </row>
        <row r="53">
          <cell r="C53">
            <v>2.68</v>
          </cell>
          <cell r="D53">
            <v>0.96426400000000001</v>
          </cell>
        </row>
        <row r="54">
          <cell r="C54">
            <v>-2.1965650000000001</v>
          </cell>
          <cell r="D54">
            <v>-0.9042</v>
          </cell>
        </row>
        <row r="55">
          <cell r="C55">
            <v>36.17</v>
          </cell>
          <cell r="D55">
            <v>14.026726</v>
          </cell>
        </row>
        <row r="56">
          <cell r="C56">
            <v>-7.0531389999999998</v>
          </cell>
          <cell r="D56">
            <v>-2.8975499999999998</v>
          </cell>
        </row>
        <row r="58">
          <cell r="C58">
            <v>0</v>
          </cell>
          <cell r="D58">
            <v>0</v>
          </cell>
        </row>
        <row r="61">
          <cell r="D61">
            <v>9.1385599999999997E-2</v>
          </cell>
        </row>
        <row r="62">
          <cell r="D62">
            <v>3.1427109</v>
          </cell>
        </row>
        <row r="63">
          <cell r="D63">
            <v>1.0582046000000001</v>
          </cell>
        </row>
        <row r="64">
          <cell r="D64">
            <v>7.4999999999999997E-3</v>
          </cell>
        </row>
        <row r="65">
          <cell r="D65">
            <v>0</v>
          </cell>
        </row>
        <row r="66">
          <cell r="C66">
            <v>-116.666</v>
          </cell>
          <cell r="D66">
            <v>-52.173000000000002</v>
          </cell>
        </row>
        <row r="67">
          <cell r="C67">
            <v>-56.625999999999998</v>
          </cell>
          <cell r="D67">
            <v>-25.585000000000001</v>
          </cell>
        </row>
        <row r="68">
          <cell r="C68">
            <v>188.65799999999999</v>
          </cell>
          <cell r="D68">
            <v>77.447000000000003</v>
          </cell>
        </row>
        <row r="69">
          <cell r="C69">
            <v>-103.651</v>
          </cell>
          <cell r="D69">
            <v>-46.933999999999997</v>
          </cell>
        </row>
        <row r="71">
          <cell r="D71">
            <v>168.7974074</v>
          </cell>
        </row>
        <row r="72">
          <cell r="D72">
            <v>-29.610666200000001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17">
          <cell r="F117">
            <v>31216.710594637429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Cr &amp; Mus"/>
      <sheetName val="Infirm "/>
      <sheetName val="112010"/>
      <sheetName val=" Infirm power Hany &amp; Aug-2012"/>
      <sheetName val="Infirm power Unit-2"/>
      <sheetName val="UPCL"/>
      <sheetName val="Monthly bill deatils"/>
      <sheetName val="Jetty consumption"/>
      <sheetName val="Unit-2"/>
      <sheetName val="AG audit"/>
      <sheetName val="Reading details"/>
      <sheetName val="Monthwise"/>
      <sheetName val="DG claimed by UPCL"/>
      <sheetName val="UPCL Claims"/>
      <sheetName val="Action plan"/>
      <sheetName val="Claims details"/>
      <sheetName val="Latest method  Sep-2012"/>
      <sheetName val="Latest method"/>
      <sheetName val="DG"/>
      <sheetName val="11-2010"/>
      <sheetName val=" Oct-2012"/>
      <sheetName val="Nov-2011"/>
      <sheetName val="Oct-2011"/>
      <sheetName val="Sep-2011"/>
      <sheetName val="August-2011"/>
      <sheetName val="July2011"/>
      <sheetName val="June-2011"/>
      <sheetName val="May-2011"/>
      <sheetName val="UPCL April 2011"/>
      <sheetName val="UPCL March 2011"/>
      <sheetName val="UPCL February 2011 "/>
      <sheetName val="UPCL Dec-2010"/>
      <sheetName val="upcl "/>
      <sheetName val="Availability"/>
      <sheetName val=" As CERC-sec "/>
      <sheetName val="As cerc- CC  EC"/>
      <sheetName val="Sheet1"/>
      <sheetName val="capacity charges"/>
      <sheetName val="fuel details as per upcl"/>
      <sheetName val="REVISION"/>
      <sheetName val="coal details"/>
      <sheetName val="Sheet2"/>
      <sheetName val="Sheet3"/>
      <sheetName val="Sheet4"/>
      <sheetName val="Sheet5"/>
      <sheetName val="From April 16"/>
      <sheetName val="Capacity charge 16-17"/>
      <sheetName val="CC 17-18"/>
      <sheetName val="Sheet14"/>
      <sheetName val="Sheet13"/>
      <sheetName val="Sheet12"/>
      <sheetName val="Sheet10"/>
      <sheetName val="Sheet6"/>
      <sheetName val="Sheet7"/>
      <sheetName val="Sheet8"/>
      <sheetName val="Sheet9"/>
      <sheetName val="Sheet11"/>
      <sheetName val="Glencore"/>
      <sheetName val="CAPT STEFANOS"/>
      <sheetName val="KM IAMABARI"/>
      <sheetName val="ELDORA"/>
      <sheetName val="VICTORIA"/>
      <sheetName val="rebate diff"/>
      <sheetName val="Sheet16"/>
      <sheetName val="Sheet15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2">
          <cell r="K32">
            <v>6291335345.2594337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1"/>
      <sheetName val="Sheet20"/>
      <sheetName val="Sheet18"/>
      <sheetName val="Sheet19"/>
      <sheetName val="Sheet1"/>
      <sheetName val="Sheet10"/>
      <sheetName val="Sheet9"/>
      <sheetName val="Sheet4"/>
      <sheetName val="Sheet5"/>
      <sheetName val="Sheet6"/>
      <sheetName val="70 series"/>
      <sheetName val="41 series"/>
      <sheetName val="Sheet11"/>
      <sheetName val="Sheet12"/>
      <sheetName val="62.918"/>
      <sheetName val="Schedule 13"/>
      <sheetName val="Schedule 16"/>
      <sheetName val="Sheet15"/>
      <sheetName val="Sheet23"/>
      <sheetName val="Sheet2"/>
      <sheetName val="D1"/>
      <sheetName val="Acs"/>
      <sheetName val="Sheet3"/>
      <sheetName val="LC"/>
      <sheetName val="Shee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52">
          <cell r="BE45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0"/>
      <sheetName val="Sheet19"/>
      <sheetName val="Sheet1"/>
      <sheetName val="Sheet10"/>
      <sheetName val="Sheet14"/>
      <sheetName val="values"/>
      <sheetName val="Sheet9"/>
      <sheetName val="Sheet4"/>
      <sheetName val="Sheet5"/>
      <sheetName val="Sheet6"/>
      <sheetName val="70 series"/>
      <sheetName val="41 series"/>
      <sheetName val="D1"/>
      <sheetName val="62.918"/>
      <sheetName val="Schedule 13"/>
      <sheetName val="Schedule 16"/>
      <sheetName val="Sheet15"/>
      <sheetName val="Sheet23"/>
      <sheetName val="Actuals apprd"/>
      <sheetName val="Sheet21"/>
      <sheetName val="Sheet18"/>
      <sheetName val="Sheet17"/>
      <sheetName val="Sheet3"/>
      <sheetName val="monthwise"/>
      <sheetName val="Source wise"/>
      <sheetName val="Sheet2"/>
      <sheetName val="Sheet7"/>
      <sheetName val="Sheet8"/>
      <sheetName val="without prov"/>
      <sheetName val="Sheet11"/>
      <sheetName val="Sheet12"/>
      <sheetName val="Sheet13"/>
      <sheetName val="Sheet16"/>
      <sheetName val="Sheet22"/>
      <sheetName val="upto dec 17"/>
      <sheetName val="Sheet24"/>
      <sheetName val="TB"/>
      <sheetName val="values 18"/>
      <sheetName val="Sheet26"/>
      <sheetName val="Sheet25"/>
      <sheetName val="Sheet27"/>
      <sheetName val="Sheet28"/>
      <sheetName val="Sheet29"/>
      <sheetName val="Monthwise energ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8">
          <cell r="F8">
            <v>30.87656114</v>
          </cell>
          <cell r="N8">
            <v>1.3480992364500002</v>
          </cell>
        </row>
        <row r="9">
          <cell r="F9">
            <v>4.7509304017200007</v>
          </cell>
          <cell r="N9">
            <v>1.9295035613269902</v>
          </cell>
        </row>
        <row r="10">
          <cell r="F10">
            <v>24.788260000000037</v>
          </cell>
          <cell r="N10">
            <v>1.9080079870000004</v>
          </cell>
        </row>
        <row r="11">
          <cell r="F11">
            <v>115.40151923220004</v>
          </cell>
          <cell r="N11">
            <v>11.216196243869602</v>
          </cell>
        </row>
        <row r="12">
          <cell r="N12">
            <v>2.1566509626768129</v>
          </cell>
        </row>
        <row r="13">
          <cell r="F13">
            <v>6.3119881484600002</v>
          </cell>
          <cell r="N13">
            <v>1.09028364157011</v>
          </cell>
        </row>
        <row r="15">
          <cell r="F15">
            <v>40.531067635000014</v>
          </cell>
          <cell r="N15">
            <v>6.4924316584290009</v>
          </cell>
        </row>
        <row r="16">
          <cell r="F16">
            <v>29.322835752000003</v>
          </cell>
          <cell r="N16">
            <v>3.9244885792826429</v>
          </cell>
        </row>
        <row r="17">
          <cell r="F17">
            <v>47.628043429999927</v>
          </cell>
          <cell r="N17">
            <v>6.2947403538529993</v>
          </cell>
        </row>
        <row r="18">
          <cell r="F18">
            <v>60.515940202999964</v>
          </cell>
          <cell r="N18">
            <v>5.9358032877450029</v>
          </cell>
        </row>
        <row r="20">
          <cell r="F20">
            <v>21.747437553619996</v>
          </cell>
          <cell r="N20">
            <v>2.5183230369999601</v>
          </cell>
        </row>
        <row r="21">
          <cell r="F21">
            <v>5.3342409999999996</v>
          </cell>
        </row>
        <row r="22">
          <cell r="F22">
            <v>9.4245940000000008</v>
          </cell>
          <cell r="N22">
            <v>0.58928754100100533</v>
          </cell>
        </row>
        <row r="23">
          <cell r="F23">
            <v>19.140219163800001</v>
          </cell>
          <cell r="N23">
            <v>1.5442476966552003</v>
          </cell>
        </row>
        <row r="26">
          <cell r="F26">
            <v>2187.0794839999999</v>
          </cell>
          <cell r="G26">
            <v>199.35710812761926</v>
          </cell>
          <cell r="H26">
            <v>761.84969628344197</v>
          </cell>
        </row>
        <row r="27">
          <cell r="F27">
            <v>380.54055399999999</v>
          </cell>
          <cell r="G27">
            <v>74.957227425882365</v>
          </cell>
          <cell r="H27">
            <v>127.44971700000001</v>
          </cell>
        </row>
        <row r="28">
          <cell r="F28">
            <v>435.21521999999999</v>
          </cell>
          <cell r="G28">
            <v>95.780255998489679</v>
          </cell>
          <cell r="H28">
            <v>167.69324118773389</v>
          </cell>
        </row>
        <row r="29">
          <cell r="F29">
            <v>237.66468</v>
          </cell>
          <cell r="G29">
            <v>151.585751526</v>
          </cell>
          <cell r="H29">
            <v>80.619272520599992</v>
          </cell>
        </row>
        <row r="30">
          <cell r="F30">
            <v>208.600854</v>
          </cell>
          <cell r="G30">
            <v>280.29355588235296</v>
          </cell>
          <cell r="H30">
            <v>71.219454999000007</v>
          </cell>
        </row>
        <row r="31">
          <cell r="F31">
            <v>0</v>
          </cell>
        </row>
        <row r="32">
          <cell r="F32">
            <v>331.44078000000002</v>
          </cell>
          <cell r="K32">
            <v>330.90113969647058</v>
          </cell>
        </row>
        <row r="40">
          <cell r="F40">
            <v>577.92513024152004</v>
          </cell>
          <cell r="G40">
            <v>41.4268961</v>
          </cell>
          <cell r="H40">
            <v>136.27465549999999</v>
          </cell>
        </row>
        <row r="41">
          <cell r="F41">
            <v>159.922724833236</v>
          </cell>
          <cell r="G41">
            <v>12.787189700000001</v>
          </cell>
          <cell r="H41">
            <v>38.9422864</v>
          </cell>
        </row>
        <row r="42">
          <cell r="F42">
            <v>517.32030892260195</v>
          </cell>
          <cell r="G42">
            <v>39.694378999999998</v>
          </cell>
          <cell r="H42">
            <v>88.691826599999999</v>
          </cell>
        </row>
        <row r="43">
          <cell r="F43">
            <v>194.14585023048997</v>
          </cell>
          <cell r="G43">
            <v>39.2600038</v>
          </cell>
          <cell r="H43">
            <v>56.2107843</v>
          </cell>
        </row>
        <row r="44">
          <cell r="F44">
            <v>156.647690679698</v>
          </cell>
          <cell r="G44">
            <v>16.392015000000001</v>
          </cell>
          <cell r="H44">
            <v>40.631225000000001</v>
          </cell>
        </row>
        <row r="45">
          <cell r="F45">
            <v>217.494423488656</v>
          </cell>
          <cell r="G45">
            <v>22.904916799999999</v>
          </cell>
          <cell r="H45">
            <v>56.385368300000003</v>
          </cell>
        </row>
        <row r="46">
          <cell r="F46">
            <v>98.404026810849999</v>
          </cell>
          <cell r="G46">
            <v>13.763811</v>
          </cell>
          <cell r="H46">
            <v>24.308959300000001</v>
          </cell>
        </row>
        <row r="47">
          <cell r="F47">
            <v>63.919122791403993</v>
          </cell>
          <cell r="G47">
            <v>17.429225500000001</v>
          </cell>
          <cell r="H47">
            <v>16.306037199999999</v>
          </cell>
        </row>
        <row r="49">
          <cell r="F49">
            <v>31.113178536740001</v>
          </cell>
          <cell r="K49">
            <v>8.9236402742641925</v>
          </cell>
        </row>
        <row r="50">
          <cell r="F50">
            <v>538.24094065265001</v>
          </cell>
          <cell r="H50">
            <v>204.55905126242999</v>
          </cell>
        </row>
        <row r="52">
          <cell r="F52">
            <v>221.89816337010598</v>
          </cell>
          <cell r="G52">
            <v>50.686374299999997</v>
          </cell>
          <cell r="H52">
            <v>76.275548099999995</v>
          </cell>
        </row>
        <row r="54">
          <cell r="E54">
            <v>39.275287859999999</v>
          </cell>
          <cell r="F54">
            <v>145.046496091352</v>
          </cell>
          <cell r="H54">
            <v>50.6595078</v>
          </cell>
        </row>
        <row r="58">
          <cell r="F58">
            <v>314.53111283600197</v>
          </cell>
          <cell r="K58">
            <v>147.10115078794075</v>
          </cell>
        </row>
        <row r="59">
          <cell r="N59">
            <v>485.69514090000001</v>
          </cell>
        </row>
        <row r="60">
          <cell r="F60">
            <v>82.199904156130003</v>
          </cell>
          <cell r="N60">
            <v>33.240106500000003</v>
          </cell>
        </row>
        <row r="61">
          <cell r="F61">
            <v>484.34251068221937</v>
          </cell>
          <cell r="N61">
            <v>143.34216430000001</v>
          </cell>
        </row>
        <row r="62">
          <cell r="F62">
            <v>628.57473545572202</v>
          </cell>
          <cell r="G62">
            <v>104.970311</v>
          </cell>
          <cell r="H62">
            <v>139.63927749999999</v>
          </cell>
        </row>
        <row r="63">
          <cell r="F63">
            <v>179.19175990999997</v>
          </cell>
          <cell r="G63">
            <v>248.05688810000001</v>
          </cell>
          <cell r="H63">
            <v>52.872776199999997</v>
          </cell>
        </row>
        <row r="66">
          <cell r="F66">
            <v>1429.645626640297</v>
          </cell>
          <cell r="G66">
            <v>629.13353452594333</v>
          </cell>
          <cell r="H66">
            <v>256.11623107405671</v>
          </cell>
        </row>
        <row r="73">
          <cell r="F73">
            <v>84.349705689999993</v>
          </cell>
          <cell r="N73">
            <v>39.553691299999997</v>
          </cell>
        </row>
        <row r="74">
          <cell r="F74">
            <v>32.54175</v>
          </cell>
          <cell r="M74">
            <v>17.933350300000001</v>
          </cell>
        </row>
        <row r="75">
          <cell r="F75">
            <v>297.87815135</v>
          </cell>
          <cell r="N75">
            <v>94.461759799999996</v>
          </cell>
        </row>
        <row r="76">
          <cell r="F76">
            <v>2072.9956006500001</v>
          </cell>
          <cell r="N76">
            <v>738.50127506249999</v>
          </cell>
        </row>
        <row r="77">
          <cell r="F77">
            <v>3.1320299999999999</v>
          </cell>
          <cell r="N77">
            <v>1.2055971999999999</v>
          </cell>
        </row>
        <row r="78">
          <cell r="F78">
            <v>1.4610399999999999</v>
          </cell>
          <cell r="N78">
            <v>0.87662399999999996</v>
          </cell>
        </row>
        <row r="79">
          <cell r="F79">
            <v>1076.7636337500001</v>
          </cell>
          <cell r="M79">
            <v>511.3982740970003</v>
          </cell>
        </row>
        <row r="81">
          <cell r="F81">
            <v>331.66554125965041</v>
          </cell>
          <cell r="N81">
            <v>170.89321247999999</v>
          </cell>
        </row>
        <row r="95">
          <cell r="F95">
            <v>11.289322370000002</v>
          </cell>
          <cell r="K95">
            <v>5.2546080000000002</v>
          </cell>
        </row>
        <row r="96">
          <cell r="F96">
            <v>3.1340201396000005</v>
          </cell>
        </row>
        <row r="101">
          <cell r="F101">
            <v>482.91697399999998</v>
          </cell>
          <cell r="N101">
            <v>197.02962719999999</v>
          </cell>
        </row>
        <row r="103">
          <cell r="F103">
            <v>-39.512526036248197</v>
          </cell>
          <cell r="N103">
            <v>-7.4140898999999996</v>
          </cell>
        </row>
        <row r="107">
          <cell r="N107">
            <v>764.3299968</v>
          </cell>
        </row>
        <row r="108">
          <cell r="N108">
            <v>7.5149999999999997</v>
          </cell>
        </row>
        <row r="109">
          <cell r="N109">
            <v>0.10920000000000001</v>
          </cell>
        </row>
        <row r="110">
          <cell r="F110">
            <v>795.01</v>
          </cell>
          <cell r="N110">
            <v>280.02999999999997</v>
          </cell>
        </row>
        <row r="113">
          <cell r="N113">
            <v>1.57</v>
          </cell>
        </row>
        <row r="118">
          <cell r="F118">
            <v>15170.821794060859</v>
          </cell>
          <cell r="N118">
            <v>8468.5917606985859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 20"/>
      <sheetName val="Sheet3"/>
      <sheetName val="FY 21"/>
      <sheetName val="Fy 22"/>
    </sheetNames>
    <sheetDataSet>
      <sheetData sheetId="0">
        <row r="6">
          <cell r="E6">
            <v>3.76</v>
          </cell>
        </row>
        <row r="7">
          <cell r="E7">
            <v>3.64</v>
          </cell>
        </row>
        <row r="8">
          <cell r="E8">
            <v>3.4</v>
          </cell>
        </row>
        <row r="9">
          <cell r="E9">
            <v>3.25</v>
          </cell>
        </row>
        <row r="10">
          <cell r="E10">
            <v>3.28</v>
          </cell>
        </row>
        <row r="11">
          <cell r="E11">
            <v>3.11</v>
          </cell>
        </row>
        <row r="12">
          <cell r="E12">
            <v>4.75</v>
          </cell>
        </row>
        <row r="15">
          <cell r="C15">
            <v>1236.69</v>
          </cell>
          <cell r="E15">
            <v>3.2262</v>
          </cell>
        </row>
        <row r="16">
          <cell r="C16">
            <v>305.51</v>
          </cell>
          <cell r="E16">
            <v>2.472</v>
          </cell>
        </row>
        <row r="17">
          <cell r="C17">
            <v>1151.1400000000001</v>
          </cell>
          <cell r="E17">
            <v>2.0299999999999998</v>
          </cell>
        </row>
        <row r="18">
          <cell r="C18">
            <v>505.86</v>
          </cell>
          <cell r="E18">
            <v>3.38</v>
          </cell>
        </row>
        <row r="19">
          <cell r="C19">
            <v>439.32</v>
          </cell>
          <cell r="E19">
            <v>4.42</v>
          </cell>
        </row>
        <row r="20">
          <cell r="E20">
            <v>4.6749999999999998</v>
          </cell>
        </row>
        <row r="21">
          <cell r="C21">
            <v>363.06</v>
          </cell>
          <cell r="E21">
            <v>2.9420000000000002</v>
          </cell>
        </row>
        <row r="22">
          <cell r="C22">
            <v>490.69</v>
          </cell>
          <cell r="E22">
            <v>2.94</v>
          </cell>
        </row>
        <row r="23">
          <cell r="C23">
            <v>348.37</v>
          </cell>
          <cell r="E23">
            <v>3.4750000000000001</v>
          </cell>
        </row>
        <row r="24">
          <cell r="C24">
            <v>291.89999999999998</v>
          </cell>
          <cell r="E24">
            <v>2.956</v>
          </cell>
        </row>
        <row r="25">
          <cell r="C25">
            <v>585.78</v>
          </cell>
          <cell r="E25">
            <v>4.34</v>
          </cell>
        </row>
        <row r="26">
          <cell r="C26">
            <v>99.56</v>
          </cell>
          <cell r="E26">
            <v>2.9</v>
          </cell>
        </row>
        <row r="27">
          <cell r="C27">
            <v>880.48</v>
          </cell>
          <cell r="E27">
            <v>3.85</v>
          </cell>
        </row>
        <row r="29">
          <cell r="C29">
            <v>469.56</v>
          </cell>
          <cell r="E29">
            <v>4.2</v>
          </cell>
        </row>
        <row r="30">
          <cell r="C30">
            <v>620.22</v>
          </cell>
          <cell r="E30">
            <v>4.2</v>
          </cell>
        </row>
        <row r="31">
          <cell r="C31">
            <v>725.58</v>
          </cell>
          <cell r="E31">
            <v>2.42</v>
          </cell>
        </row>
        <row r="32">
          <cell r="C32">
            <v>909.97</v>
          </cell>
          <cell r="E32">
            <v>2.19</v>
          </cell>
        </row>
        <row r="34">
          <cell r="C34">
            <v>233</v>
          </cell>
          <cell r="E34">
            <v>4.04</v>
          </cell>
        </row>
        <row r="35">
          <cell r="C35">
            <v>870</v>
          </cell>
          <cell r="E35">
            <v>2.96</v>
          </cell>
        </row>
        <row r="39">
          <cell r="C39">
            <v>3214.6</v>
          </cell>
          <cell r="E39">
            <v>3.5</v>
          </cell>
        </row>
        <row r="41">
          <cell r="C41">
            <v>70.209999999999994</v>
          </cell>
          <cell r="E41">
            <v>0.45</v>
          </cell>
        </row>
        <row r="42">
          <cell r="C42">
            <v>37.869999999999997</v>
          </cell>
          <cell r="E42">
            <v>1.6</v>
          </cell>
        </row>
        <row r="43">
          <cell r="C43">
            <v>91.93</v>
          </cell>
          <cell r="E43">
            <v>1.6</v>
          </cell>
        </row>
        <row r="44">
          <cell r="C44">
            <v>62.6</v>
          </cell>
          <cell r="E44">
            <v>0.96</v>
          </cell>
        </row>
        <row r="45">
          <cell r="C45">
            <v>193.36</v>
          </cell>
          <cell r="E45">
            <v>1.2649999999999999</v>
          </cell>
        </row>
        <row r="46">
          <cell r="C46">
            <v>79.27</v>
          </cell>
          <cell r="E46">
            <v>1.25</v>
          </cell>
        </row>
        <row r="47">
          <cell r="C47">
            <v>8.6</v>
          </cell>
          <cell r="E47">
            <v>4.5599999999999996</v>
          </cell>
        </row>
        <row r="48">
          <cell r="C48">
            <v>65.47</v>
          </cell>
          <cell r="E48">
            <v>1.8</v>
          </cell>
        </row>
        <row r="49">
          <cell r="C49">
            <v>62.42</v>
          </cell>
          <cell r="E49">
            <v>1.5</v>
          </cell>
        </row>
        <row r="50">
          <cell r="C50">
            <v>12.96</v>
          </cell>
          <cell r="E50">
            <v>1.75</v>
          </cell>
        </row>
        <row r="51">
          <cell r="C51">
            <v>43.49</v>
          </cell>
          <cell r="E51">
            <v>1.35</v>
          </cell>
        </row>
        <row r="52">
          <cell r="C52">
            <v>16.38</v>
          </cell>
          <cell r="E52">
            <v>1.06</v>
          </cell>
        </row>
        <row r="55">
          <cell r="C55">
            <v>16.25</v>
          </cell>
          <cell r="H55">
            <v>4.9723076923076928</v>
          </cell>
        </row>
        <row r="56">
          <cell r="C56">
            <v>3.21</v>
          </cell>
          <cell r="H56">
            <v>2.7414330218068539</v>
          </cell>
        </row>
        <row r="67">
          <cell r="C67">
            <v>380</v>
          </cell>
        </row>
        <row r="68">
          <cell r="C68">
            <v>220</v>
          </cell>
        </row>
        <row r="69">
          <cell r="C69">
            <v>776</v>
          </cell>
        </row>
        <row r="70">
          <cell r="C70">
            <v>700</v>
          </cell>
        </row>
      </sheetData>
      <sheetData sheetId="1"/>
      <sheetData sheetId="2">
        <row r="6">
          <cell r="C6">
            <v>4894.3500000000004</v>
          </cell>
          <cell r="E6">
            <v>3.87</v>
          </cell>
        </row>
        <row r="7">
          <cell r="C7">
            <v>901</v>
          </cell>
          <cell r="E7">
            <v>3.75</v>
          </cell>
        </row>
        <row r="8">
          <cell r="C8">
            <v>1155</v>
          </cell>
          <cell r="E8">
            <v>3.5</v>
          </cell>
        </row>
        <row r="9">
          <cell r="C9">
            <v>1177</v>
          </cell>
          <cell r="E9">
            <v>3.35</v>
          </cell>
        </row>
        <row r="10">
          <cell r="C10">
            <v>1375.79</v>
          </cell>
          <cell r="E10">
            <v>3.38</v>
          </cell>
        </row>
        <row r="11">
          <cell r="C11">
            <v>762.55</v>
          </cell>
          <cell r="E11">
            <v>3.2</v>
          </cell>
        </row>
        <row r="12">
          <cell r="C12">
            <v>378.47</v>
          </cell>
          <cell r="E12">
            <v>4.75</v>
          </cell>
        </row>
        <row r="15">
          <cell r="AF15">
            <v>1236.69</v>
          </cell>
        </row>
        <row r="16">
          <cell r="AF16">
            <v>305.51</v>
          </cell>
        </row>
        <row r="17">
          <cell r="AF17">
            <v>1151.1400000000001</v>
          </cell>
        </row>
        <row r="18">
          <cell r="AF18">
            <v>505.86</v>
          </cell>
        </row>
        <row r="19">
          <cell r="AF19">
            <v>439.32</v>
          </cell>
        </row>
        <row r="20">
          <cell r="AF20">
            <v>0</v>
          </cell>
        </row>
        <row r="21">
          <cell r="AF21">
            <v>363.06</v>
          </cell>
        </row>
        <row r="22">
          <cell r="AF22">
            <v>490.69</v>
          </cell>
        </row>
        <row r="23">
          <cell r="AF23">
            <v>348.37</v>
          </cell>
        </row>
        <row r="24">
          <cell r="AF24">
            <v>291.89999999999998</v>
          </cell>
        </row>
        <row r="25">
          <cell r="AF25">
            <v>585.78</v>
          </cell>
        </row>
        <row r="26">
          <cell r="AF26">
            <v>99.56</v>
          </cell>
        </row>
        <row r="27">
          <cell r="AF27">
            <v>880.48</v>
          </cell>
        </row>
        <row r="28">
          <cell r="AF28">
            <v>469.56</v>
          </cell>
        </row>
        <row r="29">
          <cell r="AF29">
            <v>620.22</v>
          </cell>
        </row>
        <row r="30">
          <cell r="AF30">
            <v>725.58</v>
          </cell>
        </row>
        <row r="31">
          <cell r="AF31">
            <v>909.97</v>
          </cell>
        </row>
        <row r="32">
          <cell r="AF32">
            <v>233</v>
          </cell>
        </row>
        <row r="33">
          <cell r="AF33">
            <v>870</v>
          </cell>
        </row>
        <row r="37">
          <cell r="AF37">
            <v>3214.6</v>
          </cell>
        </row>
        <row r="39">
          <cell r="AF39">
            <v>70.209999999999994</v>
          </cell>
        </row>
        <row r="40">
          <cell r="AF40">
            <v>37.869999999999997</v>
          </cell>
        </row>
        <row r="41">
          <cell r="AF41">
            <v>91.93</v>
          </cell>
        </row>
        <row r="42">
          <cell r="AF42">
            <v>62.6</v>
          </cell>
        </row>
        <row r="43">
          <cell r="AF43">
            <v>193.36</v>
          </cell>
        </row>
        <row r="44">
          <cell r="AF44">
            <v>79.27</v>
          </cell>
        </row>
        <row r="45">
          <cell r="AF45">
            <v>8.6</v>
          </cell>
        </row>
        <row r="46">
          <cell r="AF46">
            <v>65.47</v>
          </cell>
        </row>
        <row r="47">
          <cell r="AF47">
            <v>62.42</v>
          </cell>
        </row>
        <row r="48">
          <cell r="AF48">
            <v>12.96</v>
          </cell>
        </row>
        <row r="49">
          <cell r="AF49">
            <v>43.49</v>
          </cell>
        </row>
        <row r="50">
          <cell r="AF50">
            <v>16.38</v>
          </cell>
        </row>
        <row r="53">
          <cell r="AF53">
            <v>16.25</v>
          </cell>
        </row>
        <row r="54">
          <cell r="AF54">
            <v>3.21</v>
          </cell>
        </row>
        <row r="66">
          <cell r="C66">
            <v>399</v>
          </cell>
        </row>
        <row r="67">
          <cell r="C67">
            <v>224.4</v>
          </cell>
        </row>
        <row r="68">
          <cell r="C68">
            <v>814.8</v>
          </cell>
        </row>
        <row r="69">
          <cell r="C69">
            <v>735</v>
          </cell>
        </row>
        <row r="70">
          <cell r="C70">
            <v>88</v>
          </cell>
        </row>
        <row r="71">
          <cell r="C71">
            <v>475</v>
          </cell>
        </row>
        <row r="72">
          <cell r="C72">
            <v>3</v>
          </cell>
        </row>
        <row r="73">
          <cell r="C73">
            <v>996.54</v>
          </cell>
        </row>
      </sheetData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B"/>
      <sheetName val="D2-new"/>
      <sheetName val="Sheet1"/>
    </sheetNames>
    <sheetDataSet>
      <sheetData sheetId="0" refreshError="1">
        <row r="12">
          <cell r="J12">
            <v>236</v>
          </cell>
          <cell r="W12">
            <v>679.42793164</v>
          </cell>
        </row>
        <row r="13">
          <cell r="J13">
            <v>3842</v>
          </cell>
          <cell r="W13">
            <v>2879.2712315799999</v>
          </cell>
        </row>
        <row r="14">
          <cell r="J14">
            <v>2801</v>
          </cell>
          <cell r="W14">
            <v>1591.29443515</v>
          </cell>
        </row>
        <row r="15">
          <cell r="W15">
            <v>2.3550000000000001E-2</v>
          </cell>
        </row>
        <row r="17">
          <cell r="J17">
            <v>5642</v>
          </cell>
          <cell r="W17">
            <v>2379.4336872399999</v>
          </cell>
        </row>
        <row r="18">
          <cell r="J18">
            <v>511</v>
          </cell>
          <cell r="W18">
            <v>182.88677661000003</v>
          </cell>
        </row>
        <row r="20">
          <cell r="J20">
            <v>255</v>
          </cell>
          <cell r="W20">
            <v>150.59160473</v>
          </cell>
        </row>
        <row r="21">
          <cell r="J21">
            <v>421</v>
          </cell>
          <cell r="W21">
            <v>161.79839788999999</v>
          </cell>
        </row>
        <row r="23">
          <cell r="J23">
            <v>28</v>
          </cell>
          <cell r="W23">
            <v>26.047979000000002</v>
          </cell>
        </row>
        <row r="24">
          <cell r="J24">
            <v>2</v>
          </cell>
          <cell r="W24">
            <v>1.853E-3</v>
          </cell>
        </row>
        <row r="25">
          <cell r="J25">
            <v>1</v>
          </cell>
          <cell r="W25">
            <v>0</v>
          </cell>
        </row>
        <row r="28">
          <cell r="J28">
            <v>13</v>
          </cell>
          <cell r="W28">
            <v>0.70584000000000002</v>
          </cell>
        </row>
        <row r="30">
          <cell r="J30">
            <v>219</v>
          </cell>
          <cell r="W30">
            <v>68.853735459999996</v>
          </cell>
        </row>
        <row r="32">
          <cell r="J32">
            <v>949</v>
          </cell>
          <cell r="W32">
            <v>84.622027680000002</v>
          </cell>
        </row>
        <row r="38">
          <cell r="J38">
            <v>838089</v>
          </cell>
          <cell r="W38">
            <v>183.64956425999998</v>
          </cell>
        </row>
        <row r="40">
          <cell r="J40">
            <v>5490</v>
          </cell>
          <cell r="W40">
            <v>0</v>
          </cell>
        </row>
        <row r="41">
          <cell r="J41">
            <v>5759947</v>
          </cell>
          <cell r="W41">
            <v>5957.4354186800001</v>
          </cell>
        </row>
        <row r="42">
          <cell r="J42">
            <v>3354</v>
          </cell>
          <cell r="W42">
            <v>7.9742972999999999</v>
          </cell>
        </row>
        <row r="43">
          <cell r="J43">
            <v>1729124</v>
          </cell>
          <cell r="W43">
            <v>650.63311212999997</v>
          </cell>
        </row>
        <row r="44">
          <cell r="J44">
            <v>468</v>
          </cell>
          <cell r="W44">
            <v>0.48383199999999998</v>
          </cell>
        </row>
        <row r="46">
          <cell r="J46">
            <v>9275</v>
          </cell>
          <cell r="W46">
            <v>43.139318830000001</v>
          </cell>
        </row>
        <row r="47">
          <cell r="J47">
            <v>2352</v>
          </cell>
          <cell r="W47">
            <v>6.14871386</v>
          </cell>
        </row>
        <row r="49">
          <cell r="J49">
            <v>922608</v>
          </cell>
          <cell r="W49">
            <v>1837.25298527</v>
          </cell>
        </row>
        <row r="50">
          <cell r="J50">
            <v>406</v>
          </cell>
          <cell r="W50">
            <v>2.466704</v>
          </cell>
        </row>
        <row r="51">
          <cell r="J51">
            <v>123397</v>
          </cell>
          <cell r="W51">
            <v>165.99342019999997</v>
          </cell>
        </row>
        <row r="52">
          <cell r="J52">
            <v>115</v>
          </cell>
          <cell r="W52">
            <v>0.25820900000000002</v>
          </cell>
        </row>
        <row r="55">
          <cell r="J55">
            <v>872229</v>
          </cell>
          <cell r="W55">
            <v>6289.0390668999999</v>
          </cell>
        </row>
        <row r="56">
          <cell r="J56">
            <v>454</v>
          </cell>
        </row>
        <row r="57">
          <cell r="W57">
            <v>0.94870686999999998</v>
          </cell>
        </row>
        <row r="60">
          <cell r="J60">
            <v>1550</v>
          </cell>
          <cell r="W60">
            <v>4.5218573600000003</v>
          </cell>
        </row>
        <row r="65">
          <cell r="J65">
            <v>102934</v>
          </cell>
          <cell r="W65">
            <v>865.43572033000009</v>
          </cell>
        </row>
        <row r="70">
          <cell r="J70">
            <v>99110</v>
          </cell>
          <cell r="W70">
            <v>319.97096648000002</v>
          </cell>
        </row>
        <row r="72">
          <cell r="J72">
            <v>74873</v>
          </cell>
          <cell r="W72">
            <v>813.85211835999996</v>
          </cell>
        </row>
        <row r="74">
          <cell r="J74">
            <v>63273</v>
          </cell>
          <cell r="W74">
            <v>455.98376608000001</v>
          </cell>
        </row>
        <row r="76">
          <cell r="J76">
            <v>617103</v>
          </cell>
          <cell r="W76">
            <v>155.09739822999998</v>
          </cell>
        </row>
        <row r="78">
          <cell r="J78">
            <v>3689</v>
          </cell>
          <cell r="W78">
            <v>2.0190541500000001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ARR"/>
    </sheetNames>
    <sheetDataSet>
      <sheetData sheetId="0" refreshError="1">
        <row r="187">
          <cell r="Q187">
            <v>91.986536548000004</v>
          </cell>
        </row>
        <row r="189">
          <cell r="Q189">
            <v>327.53357381200004</v>
          </cell>
        </row>
        <row r="190">
          <cell r="Q190">
            <v>36.566031746999997</v>
          </cell>
        </row>
        <row r="191">
          <cell r="Q191">
            <v>4.9035461920000003</v>
          </cell>
        </row>
        <row r="193">
          <cell r="Q193">
            <v>117.17499344399999</v>
          </cell>
        </row>
        <row r="194">
          <cell r="Q194">
            <v>2103.15</v>
          </cell>
        </row>
        <row r="198">
          <cell r="Q198">
            <v>645.71011574200008</v>
          </cell>
        </row>
        <row r="200">
          <cell r="Q200">
            <v>413.06687244799997</v>
          </cell>
        </row>
        <row r="201">
          <cell r="Q201">
            <v>330.01543572600002</v>
          </cell>
        </row>
        <row r="205">
          <cell r="Q205">
            <v>361.55109054799999</v>
          </cell>
        </row>
        <row r="207">
          <cell r="Q207">
            <v>1391.8374046060001</v>
          </cell>
        </row>
        <row r="208">
          <cell r="Q208">
            <v>2569.5096759000003</v>
          </cell>
        </row>
        <row r="209">
          <cell r="Q209">
            <v>152.62750155700013</v>
          </cell>
        </row>
        <row r="211">
          <cell r="Q211">
            <v>148.30987709599998</v>
          </cell>
        </row>
        <row r="213">
          <cell r="Q213">
            <v>2.4683069999999999E-3</v>
          </cell>
        </row>
        <row r="215">
          <cell r="Q215">
            <v>0.37441159500000004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B"/>
    </sheetNames>
    <sheetDataSet>
      <sheetData sheetId="0">
        <row r="8">
          <cell r="N8">
            <v>356920397.82999998</v>
          </cell>
        </row>
        <row r="10">
          <cell r="N10">
            <v>1447663531.74</v>
          </cell>
        </row>
        <row r="11">
          <cell r="N11">
            <v>973320146.33000004</v>
          </cell>
        </row>
        <row r="13">
          <cell r="N13">
            <v>1272196947.6800001</v>
          </cell>
        </row>
        <row r="14">
          <cell r="N14">
            <v>98952441.659999996</v>
          </cell>
        </row>
        <row r="16">
          <cell r="N16">
            <v>81160741</v>
          </cell>
        </row>
        <row r="17">
          <cell r="N17">
            <v>89387797.629999995</v>
          </cell>
        </row>
        <row r="19">
          <cell r="N19">
            <v>12376717</v>
          </cell>
        </row>
        <row r="20">
          <cell r="N20">
            <v>844580</v>
          </cell>
        </row>
        <row r="23">
          <cell r="N23">
            <v>505436.5</v>
          </cell>
        </row>
        <row r="25">
          <cell r="N25">
            <v>35189839.229999997</v>
          </cell>
        </row>
        <row r="27">
          <cell r="N27">
            <v>42938602.109999999</v>
          </cell>
        </row>
        <row r="29">
          <cell r="N29">
            <v>885167</v>
          </cell>
        </row>
        <row r="30">
          <cell r="N30">
            <v>83546782.540000007</v>
          </cell>
        </row>
        <row r="31">
          <cell r="N31">
            <v>25284527.469999999</v>
          </cell>
        </row>
        <row r="35">
          <cell r="N35">
            <v>3175645290.6300001</v>
          </cell>
        </row>
        <row r="36">
          <cell r="N36">
            <v>3598943.4</v>
          </cell>
        </row>
        <row r="37">
          <cell r="N37">
            <v>359485853.25999999</v>
          </cell>
        </row>
        <row r="38">
          <cell r="N38">
            <v>216323</v>
          </cell>
        </row>
        <row r="40">
          <cell r="N40">
            <v>22421314.710000001</v>
          </cell>
        </row>
        <row r="41">
          <cell r="N41">
            <v>3222978.13</v>
          </cell>
        </row>
        <row r="43">
          <cell r="N43">
            <v>959194562.50999999</v>
          </cell>
        </row>
        <row r="44">
          <cell r="N44">
            <v>1266204.97</v>
          </cell>
        </row>
        <row r="45">
          <cell r="N45">
            <v>94136085.180000007</v>
          </cell>
        </row>
        <row r="46">
          <cell r="N46">
            <v>142681</v>
          </cell>
        </row>
        <row r="48">
          <cell r="N48">
            <v>2894093516.0500002</v>
          </cell>
        </row>
        <row r="50">
          <cell r="N50">
            <v>963106.2</v>
          </cell>
        </row>
        <row r="52">
          <cell r="N52">
            <v>1407146.05</v>
          </cell>
        </row>
        <row r="53">
          <cell r="N53">
            <v>937843.51</v>
          </cell>
        </row>
        <row r="55">
          <cell r="N55">
            <v>29647698.550000001</v>
          </cell>
        </row>
        <row r="56">
          <cell r="N56">
            <v>18552277.760000002</v>
          </cell>
        </row>
        <row r="57">
          <cell r="N57">
            <v>227131176.03</v>
          </cell>
        </row>
        <row r="58">
          <cell r="N58">
            <v>179703515.69</v>
          </cell>
        </row>
        <row r="60">
          <cell r="N60">
            <v>3162544.72</v>
          </cell>
        </row>
        <row r="61">
          <cell r="N61">
            <v>21580725.390000001</v>
          </cell>
        </row>
        <row r="62">
          <cell r="N62">
            <v>77764605.349999994</v>
          </cell>
        </row>
        <row r="63">
          <cell r="N63">
            <v>68504613.769999996</v>
          </cell>
        </row>
        <row r="65">
          <cell r="N65">
            <v>564952103.04999995</v>
          </cell>
        </row>
        <row r="67">
          <cell r="N67">
            <v>243253312.28999999</v>
          </cell>
        </row>
        <row r="69">
          <cell r="N69">
            <v>68441400.129999995</v>
          </cell>
        </row>
        <row r="71">
          <cell r="N71">
            <v>889871.5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-7 Yr (2)"/>
      <sheetName val="Sheet5"/>
      <sheetName val="Sheet2"/>
      <sheetName val="Sales"/>
      <sheetName val="Sheet1"/>
      <sheetName val="BESCOM"/>
      <sheetName val="IP"/>
      <sheetName val="Sheet3"/>
      <sheetName val="Sheet4"/>
      <sheetName val="Sheet6"/>
    </sheetNames>
    <sheetDataSet>
      <sheetData sheetId="0">
        <row r="4">
          <cell r="Z4">
            <v>844643</v>
          </cell>
          <cell r="AH4">
            <v>844643</v>
          </cell>
          <cell r="AI4">
            <v>844643</v>
          </cell>
          <cell r="AJ4">
            <v>844643</v>
          </cell>
        </row>
        <row r="6">
          <cell r="AE6">
            <v>4.9551216649201146E-2</v>
          </cell>
        </row>
        <row r="8">
          <cell r="AE8">
            <v>2.2073374950000835E-2</v>
          </cell>
        </row>
        <row r="9">
          <cell r="AE9">
            <v>4.9610229324870803E-2</v>
          </cell>
        </row>
        <row r="10">
          <cell r="AH10">
            <v>925047</v>
          </cell>
          <cell r="AI10">
            <v>950047</v>
          </cell>
          <cell r="AJ10">
            <v>975047</v>
          </cell>
        </row>
        <row r="12">
          <cell r="AH12">
            <v>454</v>
          </cell>
          <cell r="AJ12">
            <v>454</v>
          </cell>
        </row>
        <row r="13">
          <cell r="AE13">
            <v>4.8938252250119607E-2</v>
          </cell>
        </row>
        <row r="14">
          <cell r="AE14">
            <v>3.3765326282027441E-2</v>
          </cell>
        </row>
        <row r="15">
          <cell r="AE15">
            <v>8.8014794381253703E-2</v>
          </cell>
        </row>
        <row r="16">
          <cell r="AE16">
            <v>2.6017107308301757E-2</v>
          </cell>
        </row>
        <row r="19">
          <cell r="AE19">
            <v>0.12386999558069323</v>
          </cell>
        </row>
        <row r="21">
          <cell r="Z21">
            <v>236</v>
          </cell>
          <cell r="AE21">
            <v>6.2058874603116099E-2</v>
          </cell>
          <cell r="AI21">
            <v>266.20069653708407</v>
          </cell>
          <cell r="AJ21">
            <v>282.72081218274116</v>
          </cell>
        </row>
        <row r="22">
          <cell r="AE22">
            <v>3.8925432975770446E-2</v>
          </cell>
        </row>
        <row r="24">
          <cell r="AE24">
            <v>4.8207847852946406E-2</v>
          </cell>
        </row>
        <row r="25">
          <cell r="AE25">
            <v>0.12257330985276149</v>
          </cell>
        </row>
        <row r="26">
          <cell r="AE26">
            <v>0.19246486106434202</v>
          </cell>
        </row>
        <row r="27">
          <cell r="AE27">
            <v>5.7264270346431223E-2</v>
          </cell>
        </row>
        <row r="28">
          <cell r="AG28">
            <v>2.7397260273972712E-2</v>
          </cell>
        </row>
        <row r="29">
          <cell r="AE29">
            <v>0.35396279847306311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YT 4th control period -revised"/>
      <sheetName val="MYT 4th control period"/>
      <sheetName val="BP, Load Forecasting"/>
      <sheetName val="Sheet8"/>
      <sheetName val="Sheet2"/>
      <sheetName val="Sheet7"/>
      <sheetName val="Sheet3"/>
      <sheetName val="Sheet4"/>
      <sheetName val="Sheet5"/>
      <sheetName val="Sheet6"/>
      <sheetName val="Sheet9"/>
      <sheetName val="Sheet10"/>
    </sheetNames>
    <sheetDataSet>
      <sheetData sheetId="0"/>
      <sheetData sheetId="1">
        <row r="4">
          <cell r="S4">
            <v>219.43295401999998</v>
          </cell>
          <cell r="AJ4">
            <v>219.43295401999993</v>
          </cell>
          <cell r="AK4">
            <v>219.43295401999993</v>
          </cell>
          <cell r="AL4">
            <v>219.43295401999993</v>
          </cell>
        </row>
        <row r="5">
          <cell r="AH5">
            <v>5.8564354492177763E-2</v>
          </cell>
        </row>
        <row r="6">
          <cell r="AH6">
            <v>6.6971451939375592E-2</v>
          </cell>
        </row>
        <row r="7">
          <cell r="AH7">
            <v>7.4352068501932642E-2</v>
          </cell>
        </row>
        <row r="8">
          <cell r="S8">
            <v>5940.3101999999999</v>
          </cell>
          <cell r="AJ8">
            <v>6660.3383999999996</v>
          </cell>
          <cell r="AK8">
            <v>6840.3383999999996</v>
          </cell>
          <cell r="AL8">
            <v>7020.3383999999996</v>
          </cell>
        </row>
        <row r="10">
          <cell r="AJ10">
            <v>1.9262123999999998</v>
          </cell>
          <cell r="AK10">
            <v>1.9262123999999998</v>
          </cell>
          <cell r="AL10">
            <v>1.9262123999999998</v>
          </cell>
        </row>
        <row r="11">
          <cell r="AH11">
            <v>1.0032793186568162E-2</v>
          </cell>
          <cell r="AK11">
            <v>4.7845583800633431</v>
          </cell>
          <cell r="AL11">
            <v>4.8325608647795804</v>
          </cell>
        </row>
        <row r="12">
          <cell r="AH12">
            <v>2.1069184669347946E-2</v>
          </cell>
        </row>
        <row r="13">
          <cell r="AH13">
            <v>0.19705277505990523</v>
          </cell>
          <cell r="AK13">
            <v>1619.0796748295729</v>
          </cell>
          <cell r="AL13">
            <v>1938.1238177978294</v>
          </cell>
        </row>
        <row r="14">
          <cell r="AH14">
            <v>6.9507122017664347E-2</v>
          </cell>
          <cell r="AK14">
            <v>556.48840548454245</v>
          </cell>
          <cell r="AL14">
            <v>595.16831298597208</v>
          </cell>
        </row>
        <row r="17">
          <cell r="AH17">
            <v>1.6993574871781641E-2</v>
          </cell>
          <cell r="AK17">
            <v>143.41533107089032</v>
          </cell>
          <cell r="AL17">
            <v>145.85247023720484</v>
          </cell>
        </row>
        <row r="20">
          <cell r="AH20">
            <v>3.1089150875390176E-2</v>
          </cell>
          <cell r="AK20">
            <v>758.91615638368671</v>
          </cell>
        </row>
        <row r="22">
          <cell r="AH22">
            <v>5.0782363053133994E-3</v>
          </cell>
        </row>
        <row r="24">
          <cell r="AH24">
            <v>0.11555218992856002</v>
          </cell>
        </row>
        <row r="25">
          <cell r="AH25">
            <v>0.30893612432344258</v>
          </cell>
        </row>
        <row r="26">
          <cell r="T26">
            <v>0.43215601269409482</v>
          </cell>
          <cell r="AK26">
            <v>2.0733721379902263</v>
          </cell>
          <cell r="AL26">
            <v>2.9693923739751131</v>
          </cell>
        </row>
        <row r="27">
          <cell r="AJ27">
            <v>70.379678459999994</v>
          </cell>
          <cell r="AK27">
            <v>70.379678459999994</v>
          </cell>
          <cell r="AL27">
            <v>70.379678459999994</v>
          </cell>
        </row>
        <row r="28">
          <cell r="AH28">
            <v>2.0851477640015121E-2</v>
          </cell>
          <cell r="AK28">
            <v>89.495875471805959</v>
          </cell>
          <cell r="AL28">
            <v>91.361996718079894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YT 4th control period -revised"/>
      <sheetName val="Sheet11"/>
      <sheetName val="MYT 4th control period"/>
      <sheetName val="BP, Load Forecasting"/>
      <sheetName val="Sheet8"/>
      <sheetName val="Sheet2"/>
      <sheetName val="Sheet7"/>
      <sheetName val="Sheet3"/>
      <sheetName val="Sheet4"/>
      <sheetName val="Sheet5"/>
      <sheetName val="Sheet6"/>
      <sheetName val="Sheet9"/>
      <sheetName val="Sheet10"/>
    </sheetNames>
    <sheetDataSet>
      <sheetData sheetId="0"/>
      <sheetData sheetId="1" refreshError="1">
        <row r="62">
          <cell r="R62">
            <v>798305</v>
          </cell>
          <cell r="S62">
            <v>171.29</v>
          </cell>
        </row>
        <row r="63">
          <cell r="R63">
            <v>46198</v>
          </cell>
          <cell r="S63">
            <v>45.46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"/>
      <sheetName val="IEX"/>
      <sheetName val="SWOT"/>
      <sheetName val="PROJECTION"/>
      <sheetName val="T&amp;D LOSS"/>
      <sheetName val="PPMU"/>
      <sheetName val="PPCOST"/>
      <sheetName val="TR CH"/>
      <sheetName val="ARR"/>
      <sheetName val="DNC"/>
      <sheetName val="MYT 4th control period -revised"/>
      <sheetName val="CACL"/>
      <sheetName val="capex new"/>
      <sheetName val="Consumers-7 Yr (2)"/>
      <sheetName val="PP-FY18"/>
      <sheetName val="O&amp;M Expenses"/>
    </sheetNames>
    <sheetDataSet>
      <sheetData sheetId="0"/>
      <sheetData sheetId="1"/>
      <sheetData sheetId="2"/>
      <sheetData sheetId="3"/>
      <sheetData sheetId="4">
        <row r="9">
          <cell r="C9">
            <v>29906.78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Profit and Loss Statement"/>
      <sheetName val="Cash Flow - Operating"/>
      <sheetName val="Cash Flow - Investing"/>
      <sheetName val="Cash Flow -  Financing &amp; YE"/>
      <sheetName val="Notes to BS"/>
      <sheetName val="Notes to P&amp; L"/>
      <sheetName val="F.A Schedule"/>
      <sheetName val="Sheet1"/>
      <sheetName val="Cons Balanace sheet"/>
      <sheetName val="Cons PL statement"/>
      <sheetName val="Notes to CFS BS"/>
      <sheetName val="Notes to CFS PL"/>
      <sheetName val="CFS F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5">
          <cell r="E95">
            <v>35574887.640000001</v>
          </cell>
        </row>
        <row r="102">
          <cell r="E102">
            <v>30420431</v>
          </cell>
        </row>
        <row r="147">
          <cell r="F147">
            <v>558326175.63</v>
          </cell>
        </row>
        <row r="148">
          <cell r="E148">
            <v>23087602</v>
          </cell>
        </row>
        <row r="149">
          <cell r="E149">
            <v>5035973</v>
          </cell>
        </row>
        <row r="155">
          <cell r="E155">
            <v>-31598</v>
          </cell>
        </row>
        <row r="165">
          <cell r="E165">
            <v>4004401481.27</v>
          </cell>
        </row>
        <row r="166">
          <cell r="E166">
            <v>107376435</v>
          </cell>
        </row>
        <row r="167">
          <cell r="E167">
            <v>1243610376</v>
          </cell>
        </row>
        <row r="168">
          <cell r="E168">
            <v>944418580</v>
          </cell>
        </row>
        <row r="170">
          <cell r="E170">
            <v>147727860</v>
          </cell>
        </row>
        <row r="174">
          <cell r="E174">
            <v>85868284</v>
          </cell>
        </row>
        <row r="175">
          <cell r="E175">
            <v>1091522</v>
          </cell>
        </row>
        <row r="176">
          <cell r="E176">
            <v>110910645</v>
          </cell>
        </row>
        <row r="177">
          <cell r="E177">
            <v>208009051</v>
          </cell>
        </row>
        <row r="178">
          <cell r="E178">
            <v>163796801.5</v>
          </cell>
        </row>
        <row r="179">
          <cell r="E179">
            <v>75242150.900000006</v>
          </cell>
        </row>
        <row r="182">
          <cell r="E182">
            <v>356980</v>
          </cell>
        </row>
        <row r="183">
          <cell r="E183">
            <v>12907639</v>
          </cell>
        </row>
        <row r="185">
          <cell r="F185">
            <v>-55356991</v>
          </cell>
        </row>
        <row r="227">
          <cell r="E227">
            <v>127469441.83</v>
          </cell>
        </row>
        <row r="228">
          <cell r="E228">
            <v>2452391360.2600002</v>
          </cell>
        </row>
        <row r="229">
          <cell r="E229">
            <v>10500600</v>
          </cell>
        </row>
        <row r="232">
          <cell r="E232">
            <v>-18217500.829999998</v>
          </cell>
        </row>
        <row r="247">
          <cell r="F247">
            <v>97273077</v>
          </cell>
        </row>
        <row r="269">
          <cell r="E269">
            <v>1917579.74</v>
          </cell>
        </row>
        <row r="270">
          <cell r="E270">
            <v>368789.64</v>
          </cell>
        </row>
        <row r="283">
          <cell r="F283">
            <v>69146456.270000011</v>
          </cell>
        </row>
        <row r="295">
          <cell r="E295">
            <v>48694946</v>
          </cell>
        </row>
        <row r="296">
          <cell r="E296">
            <v>50601810.520000003</v>
          </cell>
        </row>
        <row r="298">
          <cell r="E298">
            <v>631736.99000000954</v>
          </cell>
        </row>
        <row r="301">
          <cell r="E301">
            <v>4413589</v>
          </cell>
        </row>
        <row r="302">
          <cell r="E302">
            <v>166707947.70999998</v>
          </cell>
        </row>
        <row r="305">
          <cell r="E305">
            <v>2710352</v>
          </cell>
        </row>
        <row r="306">
          <cell r="E306">
            <v>8981221</v>
          </cell>
        </row>
        <row r="307">
          <cell r="E307">
            <v>32836170.830000002</v>
          </cell>
        </row>
      </sheetData>
      <sheetData sheetId="7" refreshError="1">
        <row r="11">
          <cell r="D11">
            <v>132735</v>
          </cell>
          <cell r="E11"/>
        </row>
        <row r="12">
          <cell r="D12">
            <v>274199404</v>
          </cell>
          <cell r="E12">
            <v>82844</v>
          </cell>
        </row>
        <row r="13">
          <cell r="D13">
            <v>6864135</v>
          </cell>
          <cell r="E13"/>
        </row>
        <row r="14">
          <cell r="D14">
            <v>7979636</v>
          </cell>
          <cell r="E14"/>
        </row>
        <row r="15">
          <cell r="D15">
            <v>6138953616</v>
          </cell>
          <cell r="E15">
            <v>1266646652</v>
          </cell>
        </row>
        <row r="16">
          <cell r="D16">
            <v>13721550342</v>
          </cell>
          <cell r="E16">
            <v>717235808</v>
          </cell>
        </row>
        <row r="17">
          <cell r="D17">
            <v>61157601</v>
          </cell>
          <cell r="E17">
            <v>3425234</v>
          </cell>
        </row>
        <row r="18">
          <cell r="D18">
            <v>20117450</v>
          </cell>
          <cell r="E18">
            <v>276780</v>
          </cell>
        </row>
        <row r="19">
          <cell r="D19">
            <v>21935637</v>
          </cell>
          <cell r="E19">
            <v>1380408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O&amp;M Expenses"/>
      <sheetName val="Sheet4"/>
    </sheetNames>
    <sheetDataSet>
      <sheetData sheetId="0">
        <row r="160">
          <cell r="H160">
            <v>98.267228193466892</v>
          </cell>
        </row>
        <row r="162">
          <cell r="H162">
            <v>258.02500401730094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ESCOM"/>
      <sheetName val="ARR"/>
      <sheetName val="Other debits"/>
      <sheetName val="Depreciation"/>
      <sheetName val="working capital"/>
      <sheetName val="D-9"/>
      <sheetName val="D-8"/>
      <sheetName val="D-15"/>
      <sheetName val="capex"/>
      <sheetName val="O&amp;M Cost"/>
      <sheetName val="WPI"/>
      <sheetName val="CPI"/>
      <sheetName val="CGI"/>
    </sheetNames>
    <sheetDataSet>
      <sheetData sheetId="0" refreshError="1">
        <row r="29">
          <cell r="C29">
            <v>3.3399999999999999E-2</v>
          </cell>
        </row>
        <row r="39">
          <cell r="C39">
            <v>5.28E-2</v>
          </cell>
        </row>
        <row r="68">
          <cell r="C68">
            <v>5.28E-2</v>
          </cell>
        </row>
        <row r="70">
          <cell r="C70">
            <v>5.28E-2</v>
          </cell>
        </row>
        <row r="72">
          <cell r="C72">
            <v>5.28E-2</v>
          </cell>
        </row>
        <row r="78">
          <cell r="C78">
            <v>6.3299999999999995E-2</v>
          </cell>
        </row>
        <row r="79">
          <cell r="C79">
            <v>6.3299999999999995E-2</v>
          </cell>
        </row>
        <row r="93">
          <cell r="C93">
            <v>5.28E-2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le payment  FY 15-16"/>
      <sheetName val="76.193."/>
      <sheetName val="pp"/>
      <sheetName val="Sheet2"/>
      <sheetName val="Sheet13"/>
      <sheetName val="Sheet1"/>
      <sheetName val="Sheet3"/>
      <sheetName val="Sheet4"/>
      <sheetName val="Incre"/>
      <sheetName val="Capex"/>
      <sheetName val="Sheet7"/>
      <sheetName val="D-7"/>
      <sheetName val="Actual"/>
      <sheetName val="BESCOM In Brief"/>
      <sheetName val="Sheet5"/>
      <sheetName val="Sheet6"/>
      <sheetName val="Sheet8"/>
      <sheetName val="Sheet9"/>
      <sheetName val="Sheet10"/>
      <sheetName val="Sheet11"/>
      <sheetName val="Sheet12"/>
      <sheetName val="Sheet14"/>
      <sheetName val="Sheet16"/>
      <sheetName val="Sheet15"/>
      <sheetName val="Sheet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70">
          <cell r="L70">
            <v>27.46</v>
          </cell>
        </row>
        <row r="71">
          <cell r="L71">
            <v>17.48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O&amp;M Expenses"/>
      <sheetName val="Sheet4"/>
      <sheetName val="BS"/>
      <sheetName val="PL"/>
      <sheetName val="SOCIE"/>
      <sheetName val="2.3"/>
      <sheetName val="2.4"/>
      <sheetName val="2.5 to 2.15"/>
      <sheetName val="2.16"/>
      <sheetName val="2.17 to 2.27"/>
      <sheetName val="2.28 to 2.37"/>
      <sheetName val="Sheet5"/>
      <sheetName val="new"/>
      <sheetName val="new2"/>
      <sheetName val="D9"/>
      <sheetName val="Current maturities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27">
          <cell r="D127">
            <v>112.73</v>
          </cell>
        </row>
        <row r="128">
          <cell r="D128">
            <v>4.91</v>
          </cell>
        </row>
        <row r="129">
          <cell r="D129">
            <v>0.61</v>
          </cell>
        </row>
      </sheetData>
      <sheetData sheetId="17">
        <row r="8">
          <cell r="G8">
            <v>14.3</v>
          </cell>
        </row>
        <row r="9">
          <cell r="G9">
            <v>23.65</v>
          </cell>
        </row>
        <row r="12">
          <cell r="F12">
            <v>11.98</v>
          </cell>
          <cell r="G12">
            <v>14.89</v>
          </cell>
        </row>
        <row r="13">
          <cell r="F13">
            <v>21.17</v>
          </cell>
          <cell r="G13">
            <v>20.38</v>
          </cell>
        </row>
        <row r="14">
          <cell r="F14">
            <v>23.8</v>
          </cell>
          <cell r="G14">
            <v>24.14</v>
          </cell>
        </row>
        <row r="15">
          <cell r="G15">
            <v>29.74</v>
          </cell>
        </row>
        <row r="16">
          <cell r="G16">
            <v>11.51</v>
          </cell>
        </row>
        <row r="17">
          <cell r="G17">
            <v>0.32</v>
          </cell>
        </row>
        <row r="18">
          <cell r="D18">
            <v>10.75</v>
          </cell>
          <cell r="G18">
            <v>71.94</v>
          </cell>
        </row>
        <row r="19">
          <cell r="D19">
            <v>9.5500000000000007</v>
          </cell>
          <cell r="G19">
            <v>15.67</v>
          </cell>
        </row>
        <row r="20">
          <cell r="D20">
            <v>299.45999999999998</v>
          </cell>
          <cell r="G20">
            <v>3.64</v>
          </cell>
        </row>
        <row r="21">
          <cell r="D21">
            <v>38.44</v>
          </cell>
          <cell r="G21">
            <v>0.65</v>
          </cell>
        </row>
        <row r="22">
          <cell r="D22">
            <v>36.770000000000003</v>
          </cell>
          <cell r="G22">
            <v>0.19</v>
          </cell>
        </row>
        <row r="24">
          <cell r="G24">
            <v>3.95</v>
          </cell>
        </row>
        <row r="25">
          <cell r="G25">
            <v>42.42</v>
          </cell>
        </row>
        <row r="26">
          <cell r="F26">
            <v>57.199999999999996</v>
          </cell>
        </row>
        <row r="28">
          <cell r="D28">
            <v>4.53</v>
          </cell>
          <cell r="G28">
            <v>6.29</v>
          </cell>
        </row>
        <row r="35">
          <cell r="G35">
            <v>0.05</v>
          </cell>
        </row>
        <row r="36">
          <cell r="G36">
            <v>2.2599999999999998</v>
          </cell>
        </row>
        <row r="38">
          <cell r="G38">
            <v>0.59</v>
          </cell>
        </row>
        <row r="43">
          <cell r="G43">
            <v>61.589999999999996</v>
          </cell>
        </row>
        <row r="44">
          <cell r="D44">
            <v>200</v>
          </cell>
          <cell r="F44">
            <v>100</v>
          </cell>
          <cell r="G44">
            <v>23.98</v>
          </cell>
        </row>
        <row r="45">
          <cell r="G45">
            <v>7.43</v>
          </cell>
        </row>
        <row r="46">
          <cell r="F46">
            <v>10.34</v>
          </cell>
          <cell r="G46">
            <v>7.0000000000000007E-2</v>
          </cell>
        </row>
        <row r="47">
          <cell r="F47">
            <v>104</v>
          </cell>
          <cell r="G47">
            <v>3.61</v>
          </cell>
        </row>
        <row r="48">
          <cell r="G48">
            <v>20.37</v>
          </cell>
        </row>
        <row r="49">
          <cell r="F49">
            <v>99.97999999999999</v>
          </cell>
          <cell r="G49">
            <v>12.85</v>
          </cell>
        </row>
        <row r="50">
          <cell r="D50">
            <v>150</v>
          </cell>
          <cell r="F50">
            <v>75</v>
          </cell>
          <cell r="G50">
            <v>6.01</v>
          </cell>
        </row>
        <row r="53">
          <cell r="G53">
            <v>16.05</v>
          </cell>
        </row>
        <row r="54">
          <cell r="G54">
            <v>25.23</v>
          </cell>
        </row>
        <row r="55">
          <cell r="G55">
            <v>80.31</v>
          </cell>
        </row>
        <row r="56">
          <cell r="G56">
            <v>29.18</v>
          </cell>
        </row>
        <row r="57">
          <cell r="G57">
            <v>12.08</v>
          </cell>
        </row>
        <row r="58">
          <cell r="G58">
            <v>24.36</v>
          </cell>
        </row>
        <row r="59">
          <cell r="G59">
            <v>7.5</v>
          </cell>
        </row>
      </sheetData>
      <sheetData sheetId="18"/>
      <sheetData sheetId="19"/>
      <sheetData sheetId="2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 of sept 18"/>
      <sheetName val="FY 18-19"/>
    </sheetNames>
    <sheetDataSet>
      <sheetData sheetId="0"/>
      <sheetData sheetId="1" refreshError="1">
        <row r="19">
          <cell r="D19"/>
        </row>
        <row r="20">
          <cell r="D20"/>
        </row>
        <row r="23">
          <cell r="D23"/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9"/>
    </sheetNames>
    <sheetDataSet>
      <sheetData sheetId="0">
        <row r="36">
          <cell r="C36">
            <v>0</v>
          </cell>
        </row>
        <row r="39">
          <cell r="D39">
            <v>1300</v>
          </cell>
        </row>
        <row r="40">
          <cell r="D40">
            <v>250</v>
          </cell>
          <cell r="F40">
            <v>100</v>
          </cell>
        </row>
        <row r="41">
          <cell r="D41"/>
        </row>
        <row r="42">
          <cell r="D42"/>
          <cell r="F42">
            <v>93.7</v>
          </cell>
        </row>
        <row r="43">
          <cell r="D43"/>
          <cell r="F43">
            <v>125.04</v>
          </cell>
        </row>
        <row r="45">
          <cell r="D45"/>
          <cell r="F45">
            <v>144</v>
          </cell>
        </row>
        <row r="46">
          <cell r="C46">
            <v>0</v>
          </cell>
        </row>
        <row r="47">
          <cell r="C47">
            <v>0</v>
          </cell>
          <cell r="D47">
            <v>200</v>
          </cell>
          <cell r="F47"/>
        </row>
        <row r="50">
          <cell r="F50"/>
        </row>
        <row r="51">
          <cell r="D51"/>
        </row>
        <row r="52">
          <cell r="F52"/>
        </row>
        <row r="53">
          <cell r="D53"/>
        </row>
        <row r="54">
          <cell r="D54"/>
        </row>
        <row r="55">
          <cell r="F55"/>
        </row>
        <row r="56">
          <cell r="F56"/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O&amp;M Expenses"/>
      <sheetName val="Sheet4"/>
    </sheetNames>
    <sheetDataSet>
      <sheetData sheetId="0">
        <row r="57">
          <cell r="P57">
            <v>61.27</v>
          </cell>
        </row>
        <row r="58">
          <cell r="P58">
            <v>7.8</v>
          </cell>
        </row>
        <row r="59">
          <cell r="P59">
            <v>23.76</v>
          </cell>
        </row>
        <row r="64">
          <cell r="P64">
            <v>4.2818298999999997E-2</v>
          </cell>
        </row>
        <row r="65">
          <cell r="P65">
            <v>0.17866563999999999</v>
          </cell>
        </row>
        <row r="66">
          <cell r="P66">
            <v>3.9641172170000001</v>
          </cell>
        </row>
        <row r="67">
          <cell r="P67">
            <v>0.44928775099999907</v>
          </cell>
        </row>
        <row r="68">
          <cell r="P68">
            <v>0.23661550000000001</v>
          </cell>
        </row>
        <row r="69">
          <cell r="P69">
            <v>-7.250665409999999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old"/>
      <sheetName val="O&amp;M Expenses"/>
      <sheetName val="Sheet4"/>
      <sheetName val="BS"/>
      <sheetName val="PL"/>
      <sheetName val="SOCIE"/>
      <sheetName val="2.3"/>
      <sheetName val="2.4"/>
      <sheetName val="2.5 to 2.15"/>
      <sheetName val="2.16"/>
      <sheetName val="2.17 to 2.27"/>
      <sheetName val="2.28 to 2.37"/>
      <sheetName val="Sheet5"/>
      <sheetName val="new"/>
      <sheetName val="chapter-3"/>
      <sheetName val="chapter-5"/>
      <sheetName val="Sheet7"/>
      <sheetName val="Current maturities"/>
      <sheetName val="D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7">
          <cell r="C217">
            <v>-2561.2425055559106</v>
          </cell>
        </row>
      </sheetData>
      <sheetData sheetId="18"/>
      <sheetData sheetId="19"/>
      <sheetData sheetId="2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0"/>
      <sheetName val="Sheet19"/>
      <sheetName val="Sheet1"/>
      <sheetName val="Sheet10"/>
      <sheetName val="Sheet14"/>
      <sheetName val="values"/>
      <sheetName val="Sheet9"/>
      <sheetName val="Sheet4"/>
      <sheetName val="Sheet5"/>
      <sheetName val="Sheet6"/>
      <sheetName val="70 series"/>
      <sheetName val="41 series"/>
      <sheetName val="D1"/>
      <sheetName val="62.918"/>
      <sheetName val="Schedule 13"/>
      <sheetName val="Schedule 16"/>
      <sheetName val="Sheet15"/>
      <sheetName val="Sheet23"/>
      <sheetName val="Actuals apprd"/>
      <sheetName val="Sheet21"/>
      <sheetName val="Sheet18"/>
      <sheetName val="Sheet17"/>
      <sheetName val="Sheet3"/>
      <sheetName val="KERC Format"/>
      <sheetName val="monthwise"/>
      <sheetName val="Source wise"/>
      <sheetName val="Sheet2"/>
      <sheetName val="Sheet7"/>
      <sheetName val="Sheet8"/>
      <sheetName val="without prov"/>
      <sheetName val="Sheet11"/>
      <sheetName val="Sheet12"/>
      <sheetName val="Sheet13"/>
      <sheetName val="Sheet16"/>
      <sheetName val="Sheet22"/>
      <sheetName val="upto dec 17"/>
      <sheetName val="Sheet24"/>
      <sheetName val="TB"/>
      <sheetName val="values 18"/>
      <sheetName val="Sheet26"/>
      <sheetName val="Sheet25"/>
      <sheetName val="Sheet27"/>
      <sheetName val="Sheet28"/>
      <sheetName val="Sheet29"/>
      <sheetName val="Monthwise energy"/>
      <sheetName val="Sheet30"/>
    </sheetNames>
    <sheetDataSet>
      <sheetData sheetId="0"/>
      <sheetData sheetId="1"/>
      <sheetData sheetId="2">
        <row r="482">
          <cell r="BD482">
            <v>51918236.960834004</v>
          </cell>
          <cell r="BG482">
            <v>571106827</v>
          </cell>
        </row>
        <row r="483">
          <cell r="BD483">
            <v>598162990.4777</v>
          </cell>
          <cell r="BG483">
            <v>2716435179.7770958</v>
          </cell>
        </row>
        <row r="484">
          <cell r="BD484">
            <v>17432820</v>
          </cell>
          <cell r="BG484">
            <v>143820765</v>
          </cell>
        </row>
        <row r="485">
          <cell r="BD485">
            <v>4797220</v>
          </cell>
          <cell r="BG485">
            <v>40311006</v>
          </cell>
        </row>
        <row r="486">
          <cell r="BD486">
            <v>14415375</v>
          </cell>
          <cell r="BG486">
            <v>103214064</v>
          </cell>
        </row>
        <row r="487">
          <cell r="BD487">
            <v>15444862.5</v>
          </cell>
          <cell r="BG487">
            <v>115369971</v>
          </cell>
        </row>
        <row r="488">
          <cell r="BD488">
            <v>18075480</v>
          </cell>
          <cell r="BG488">
            <v>117671137</v>
          </cell>
        </row>
        <row r="489">
          <cell r="BD489">
            <v>15048610</v>
          </cell>
          <cell r="BG489">
            <v>82712346</v>
          </cell>
        </row>
        <row r="490">
          <cell r="BD490">
            <v>948944451</v>
          </cell>
          <cell r="BG490">
            <v>4191375894.96</v>
          </cell>
        </row>
        <row r="491">
          <cell r="BD491">
            <v>4922000</v>
          </cell>
          <cell r="BG491">
            <v>32042219</v>
          </cell>
        </row>
        <row r="492">
          <cell r="BD492">
            <v>55964580</v>
          </cell>
          <cell r="BG492">
            <v>364329407</v>
          </cell>
        </row>
        <row r="493">
          <cell r="BD493">
            <v>29248852.5</v>
          </cell>
          <cell r="BG493">
            <v>205034448</v>
          </cell>
        </row>
        <row r="494">
          <cell r="BD494">
            <v>87854970</v>
          </cell>
          <cell r="BG494">
            <v>568367723</v>
          </cell>
        </row>
        <row r="495">
          <cell r="BD495">
            <v>14241415</v>
          </cell>
          <cell r="BG495">
            <v>99728656</v>
          </cell>
        </row>
        <row r="496">
          <cell r="BD496">
            <v>17965023</v>
          </cell>
          <cell r="BG496">
            <v>98707626</v>
          </cell>
        </row>
        <row r="497">
          <cell r="BD497">
            <v>37691450</v>
          </cell>
          <cell r="BG497">
            <v>182298600</v>
          </cell>
        </row>
        <row r="498">
          <cell r="BD498">
            <v>37070100</v>
          </cell>
          <cell r="BG498">
            <v>179789985</v>
          </cell>
        </row>
        <row r="499">
          <cell r="BD499">
            <v>33986325</v>
          </cell>
          <cell r="BG499">
            <v>165173542</v>
          </cell>
        </row>
        <row r="500">
          <cell r="BD500">
            <v>15458097</v>
          </cell>
          <cell r="BG500">
            <v>98868091</v>
          </cell>
        </row>
        <row r="501">
          <cell r="BD501">
            <v>51563010</v>
          </cell>
          <cell r="BG501">
            <v>335675190.78999996</v>
          </cell>
        </row>
        <row r="502">
          <cell r="BD502">
            <v>54206681</v>
          </cell>
          <cell r="BG502">
            <v>352885486.56</v>
          </cell>
        </row>
        <row r="503">
          <cell r="BD503">
            <v>52168305</v>
          </cell>
          <cell r="BG503">
            <v>339615667.89999998</v>
          </cell>
        </row>
        <row r="504">
          <cell r="BD504">
            <v>54945165</v>
          </cell>
          <cell r="BG504">
            <v>355700962.69</v>
          </cell>
        </row>
        <row r="505">
          <cell r="BD505">
            <v>21693750</v>
          </cell>
          <cell r="BG505">
            <v>132321354</v>
          </cell>
        </row>
        <row r="506">
          <cell r="BD506">
            <v>38581785</v>
          </cell>
          <cell r="BG506">
            <v>180948567</v>
          </cell>
        </row>
        <row r="507">
          <cell r="BD507">
            <v>36423202</v>
          </cell>
          <cell r="BG507">
            <v>170824864</v>
          </cell>
        </row>
        <row r="508">
          <cell r="BD508">
            <v>30895700</v>
          </cell>
          <cell r="BG508">
            <v>188469879</v>
          </cell>
        </row>
        <row r="509">
          <cell r="BD509">
            <v>17918775</v>
          </cell>
          <cell r="BG509">
            <v>78125864</v>
          </cell>
        </row>
        <row r="510">
          <cell r="BD510">
            <v>6633525</v>
          </cell>
          <cell r="BG510">
            <v>30757339</v>
          </cell>
        </row>
        <row r="511">
          <cell r="BD511">
            <v>37235250</v>
          </cell>
          <cell r="BG511">
            <v>162302090</v>
          </cell>
        </row>
        <row r="512">
          <cell r="BD512">
            <v>36340200</v>
          </cell>
          <cell r="BG512">
            <v>158443272</v>
          </cell>
        </row>
        <row r="513">
          <cell r="BD513">
            <v>72076320</v>
          </cell>
          <cell r="BG513">
            <v>197292052</v>
          </cell>
        </row>
        <row r="514">
          <cell r="BD514">
            <v>41334720</v>
          </cell>
          <cell r="BG514">
            <v>180219380</v>
          </cell>
        </row>
        <row r="515">
          <cell r="BD515">
            <v>42239850</v>
          </cell>
          <cell r="BG515">
            <v>184165706</v>
          </cell>
        </row>
        <row r="516">
          <cell r="BD516">
            <v>34483980</v>
          </cell>
          <cell r="BG516">
            <v>150350154</v>
          </cell>
        </row>
        <row r="517">
          <cell r="BD517">
            <v>15311256.5</v>
          </cell>
          <cell r="BG517">
            <v>66614288</v>
          </cell>
        </row>
        <row r="518">
          <cell r="BD518">
            <v>26157600</v>
          </cell>
          <cell r="BG518">
            <v>114047136</v>
          </cell>
        </row>
        <row r="519">
          <cell r="BD519">
            <v>21840439.5</v>
          </cell>
          <cell r="BG519">
            <v>131658236</v>
          </cell>
        </row>
        <row r="520">
          <cell r="BD520">
            <v>37438050</v>
          </cell>
          <cell r="BG520">
            <v>163229898</v>
          </cell>
        </row>
        <row r="521">
          <cell r="BD521">
            <v>37204050</v>
          </cell>
          <cell r="BG521">
            <v>163747539</v>
          </cell>
        </row>
        <row r="522">
          <cell r="BD522">
            <v>33142020</v>
          </cell>
          <cell r="BG522">
            <v>144499209</v>
          </cell>
        </row>
        <row r="523">
          <cell r="BD523">
            <v>26739810</v>
          </cell>
          <cell r="BG523">
            <v>116869866</v>
          </cell>
        </row>
        <row r="524">
          <cell r="BD524">
            <v>33271500</v>
          </cell>
          <cell r="BG524">
            <v>145063739</v>
          </cell>
        </row>
        <row r="525">
          <cell r="BD525">
            <v>36959850</v>
          </cell>
          <cell r="BG525">
            <v>179254374</v>
          </cell>
        </row>
        <row r="526">
          <cell r="BD526">
            <v>36401850</v>
          </cell>
          <cell r="BG526">
            <v>158512066</v>
          </cell>
        </row>
        <row r="527">
          <cell r="BD527">
            <v>36547740</v>
          </cell>
          <cell r="BG527">
            <v>159348057</v>
          </cell>
        </row>
        <row r="528">
          <cell r="BD528">
            <v>3447556.25</v>
          </cell>
          <cell r="BG528">
            <v>15010665</v>
          </cell>
        </row>
        <row r="529">
          <cell r="BD529">
            <v>23338560</v>
          </cell>
          <cell r="BG529">
            <v>101755224</v>
          </cell>
        </row>
        <row r="530">
          <cell r="BD530">
            <v>34498170</v>
          </cell>
          <cell r="BG530">
            <v>150412001</v>
          </cell>
        </row>
        <row r="531">
          <cell r="BD531">
            <v>30338860</v>
          </cell>
          <cell r="BG531">
            <v>132277428.2</v>
          </cell>
        </row>
        <row r="532">
          <cell r="BD532">
            <v>37443720</v>
          </cell>
          <cell r="BG532">
            <v>181798486</v>
          </cell>
        </row>
        <row r="533">
          <cell r="BD533">
            <v>15211597.5</v>
          </cell>
          <cell r="BG533">
            <v>94768244</v>
          </cell>
        </row>
        <row r="534">
          <cell r="BD534">
            <v>1654600</v>
          </cell>
          <cell r="BG534">
            <v>13898640</v>
          </cell>
        </row>
        <row r="535">
          <cell r="BD535">
            <v>5446431</v>
          </cell>
          <cell r="BG535">
            <v>45750019</v>
          </cell>
        </row>
        <row r="536">
          <cell r="BD536">
            <v>5102240</v>
          </cell>
          <cell r="BG536">
            <v>43160699</v>
          </cell>
        </row>
        <row r="537">
          <cell r="BD537">
            <v>5682860</v>
          </cell>
          <cell r="BG537">
            <v>47736024</v>
          </cell>
        </row>
        <row r="538">
          <cell r="BD538">
            <v>1745814</v>
          </cell>
          <cell r="BG538">
            <v>14664837</v>
          </cell>
        </row>
        <row r="539">
          <cell r="BD539">
            <v>1844336.25</v>
          </cell>
          <cell r="BG539">
            <v>15492432</v>
          </cell>
        </row>
        <row r="540">
          <cell r="BD540">
            <v>1893831</v>
          </cell>
          <cell r="BG540">
            <v>15908179</v>
          </cell>
        </row>
        <row r="541">
          <cell r="BD541">
            <v>4057652.5</v>
          </cell>
          <cell r="BG541">
            <v>34071231</v>
          </cell>
        </row>
        <row r="542">
          <cell r="BD542">
            <v>1859883.75</v>
          </cell>
          <cell r="BG542">
            <v>15624059</v>
          </cell>
        </row>
        <row r="543">
          <cell r="BD543">
            <v>1589163</v>
          </cell>
          <cell r="BG543">
            <v>13348969</v>
          </cell>
        </row>
        <row r="544">
          <cell r="BD544">
            <v>1699561</v>
          </cell>
          <cell r="BG544">
            <v>14276313</v>
          </cell>
        </row>
        <row r="545">
          <cell r="BD545">
            <v>1730334</v>
          </cell>
          <cell r="BG545">
            <v>14534806</v>
          </cell>
        </row>
        <row r="546">
          <cell r="BD546">
            <v>3329030</v>
          </cell>
          <cell r="BG546">
            <v>27963852</v>
          </cell>
        </row>
        <row r="547">
          <cell r="BD547">
            <v>3244570</v>
          </cell>
          <cell r="BG547">
            <v>27254388</v>
          </cell>
        </row>
        <row r="548">
          <cell r="BD548">
            <v>3329410</v>
          </cell>
          <cell r="BG548">
            <v>28001820</v>
          </cell>
        </row>
        <row r="549">
          <cell r="BD549">
            <v>3313393.75</v>
          </cell>
          <cell r="BG549">
            <v>27832492</v>
          </cell>
        </row>
        <row r="550">
          <cell r="BD550">
            <v>1979208</v>
          </cell>
          <cell r="BG550">
            <v>16625348</v>
          </cell>
        </row>
        <row r="551">
          <cell r="BD551">
            <v>3515737.5</v>
          </cell>
          <cell r="BG551">
            <v>29532218</v>
          </cell>
        </row>
        <row r="552">
          <cell r="BD552">
            <v>1647955</v>
          </cell>
          <cell r="BG552">
            <v>13843494</v>
          </cell>
        </row>
        <row r="553">
          <cell r="BD553">
            <v>5951551</v>
          </cell>
          <cell r="BG553">
            <v>49993028</v>
          </cell>
        </row>
        <row r="554">
          <cell r="BD554">
            <v>4980910</v>
          </cell>
          <cell r="BG554">
            <v>41100464</v>
          </cell>
        </row>
        <row r="555">
          <cell r="BD555">
            <v>5404410</v>
          </cell>
          <cell r="BG555">
            <v>45397044</v>
          </cell>
        </row>
        <row r="556">
          <cell r="BD556">
            <v>1766388</v>
          </cell>
          <cell r="BG556">
            <v>14837659</v>
          </cell>
        </row>
        <row r="557">
          <cell r="BD557">
            <v>1865172</v>
          </cell>
          <cell r="BG557">
            <v>15667445</v>
          </cell>
        </row>
        <row r="558">
          <cell r="BD558">
            <v>1841256</v>
          </cell>
          <cell r="BG558">
            <v>15466549</v>
          </cell>
        </row>
        <row r="559">
          <cell r="BD559">
            <v>1639198</v>
          </cell>
          <cell r="BG559">
            <v>12667897</v>
          </cell>
        </row>
        <row r="560">
          <cell r="BD560">
            <v>1623664</v>
          </cell>
          <cell r="BG560">
            <v>12537410</v>
          </cell>
        </row>
        <row r="561">
          <cell r="BD561">
            <v>7987336</v>
          </cell>
          <cell r="BG561">
            <v>41414352</v>
          </cell>
        </row>
        <row r="562">
          <cell r="BD562">
            <v>4886940</v>
          </cell>
          <cell r="BG562">
            <v>41050296</v>
          </cell>
        </row>
        <row r="563">
          <cell r="BD563">
            <v>5182288</v>
          </cell>
          <cell r="BG563">
            <v>43487035</v>
          </cell>
        </row>
        <row r="564">
          <cell r="BD564">
            <v>4948391</v>
          </cell>
          <cell r="BG564">
            <v>41566485</v>
          </cell>
        </row>
        <row r="565">
          <cell r="BD565">
            <v>4995794</v>
          </cell>
          <cell r="BG565">
            <v>41964670</v>
          </cell>
        </row>
        <row r="566">
          <cell r="BD566">
            <v>3906850</v>
          </cell>
          <cell r="BG566">
            <v>32817540</v>
          </cell>
        </row>
        <row r="567">
          <cell r="BD567">
            <v>4960310</v>
          </cell>
          <cell r="BG567">
            <v>32291617</v>
          </cell>
        </row>
        <row r="568">
          <cell r="BD568">
            <v>3318725</v>
          </cell>
          <cell r="BG568">
            <v>21604887</v>
          </cell>
        </row>
        <row r="569">
          <cell r="BD569">
            <v>1850772</v>
          </cell>
          <cell r="BG569">
            <v>12048526</v>
          </cell>
        </row>
        <row r="570">
          <cell r="BD570">
            <v>5859797</v>
          </cell>
          <cell r="BG570">
            <v>49222295</v>
          </cell>
        </row>
        <row r="571">
          <cell r="BD571">
            <v>1601619</v>
          </cell>
          <cell r="BG571">
            <v>10426539</v>
          </cell>
        </row>
        <row r="572">
          <cell r="BD572">
            <v>1783452</v>
          </cell>
          <cell r="BG572">
            <v>11610273</v>
          </cell>
        </row>
        <row r="573">
          <cell r="BD573">
            <v>3481086</v>
          </cell>
          <cell r="BG573">
            <v>15177535</v>
          </cell>
        </row>
        <row r="574">
          <cell r="BD574">
            <v>3461982</v>
          </cell>
          <cell r="BG574">
            <v>15094241</v>
          </cell>
        </row>
        <row r="575">
          <cell r="BD575">
            <v>1263315</v>
          </cell>
          <cell r="BG575">
            <v>8224180</v>
          </cell>
        </row>
        <row r="576">
          <cell r="BD576">
            <v>1659711</v>
          </cell>
          <cell r="BG576">
            <v>7236340</v>
          </cell>
        </row>
        <row r="577">
          <cell r="BD577">
            <v>2487150</v>
          </cell>
          <cell r="BG577">
            <v>10843974</v>
          </cell>
        </row>
        <row r="578">
          <cell r="BD578">
            <v>3634650</v>
          </cell>
          <cell r="BG578">
            <v>15847074</v>
          </cell>
        </row>
        <row r="579">
          <cell r="BD579">
            <v>1807332</v>
          </cell>
          <cell r="BG579">
            <v>7879968</v>
          </cell>
        </row>
        <row r="580">
          <cell r="BD580">
            <v>2886962.5</v>
          </cell>
          <cell r="BG580">
            <v>13459149</v>
          </cell>
        </row>
        <row r="581">
          <cell r="BD581">
            <v>4774920</v>
          </cell>
          <cell r="BG581">
            <v>20818654</v>
          </cell>
        </row>
        <row r="582">
          <cell r="BD582">
            <v>4527960</v>
          </cell>
          <cell r="BG582">
            <v>19741904</v>
          </cell>
        </row>
        <row r="583">
          <cell r="BD583">
            <v>2574082.75</v>
          </cell>
          <cell r="BG583">
            <v>16824646</v>
          </cell>
        </row>
        <row r="584">
          <cell r="BD584">
            <v>5786020</v>
          </cell>
          <cell r="BG584">
            <v>25218023</v>
          </cell>
        </row>
        <row r="585">
          <cell r="BD585">
            <v>3613130</v>
          </cell>
          <cell r="BG585">
            <v>15753248</v>
          </cell>
        </row>
        <row r="586">
          <cell r="BD586">
            <v>3031706.25</v>
          </cell>
          <cell r="BG586">
            <v>13207582</v>
          </cell>
        </row>
        <row r="587">
          <cell r="BD587">
            <v>1568712</v>
          </cell>
          <cell r="BG587">
            <v>6838585</v>
          </cell>
        </row>
        <row r="588">
          <cell r="BD588">
            <v>2985522</v>
          </cell>
          <cell r="BG588">
            <v>13016878</v>
          </cell>
        </row>
        <row r="589">
          <cell r="BD589">
            <v>5479050</v>
          </cell>
          <cell r="BG589">
            <v>23888658</v>
          </cell>
        </row>
        <row r="590">
          <cell r="BD590">
            <v>1776431.25</v>
          </cell>
          <cell r="BG590">
            <v>7745229</v>
          </cell>
        </row>
        <row r="591">
          <cell r="BD591">
            <v>1454235</v>
          </cell>
          <cell r="BG591">
            <v>6340463</v>
          </cell>
        </row>
        <row r="592">
          <cell r="BD592">
            <v>2855912.5</v>
          </cell>
          <cell r="BG592">
            <v>12451766</v>
          </cell>
        </row>
        <row r="593">
          <cell r="BD593">
            <v>5505610</v>
          </cell>
          <cell r="BG593">
            <v>24004460</v>
          </cell>
        </row>
        <row r="594">
          <cell r="BD594">
            <v>4670090</v>
          </cell>
          <cell r="BG594">
            <v>20361595</v>
          </cell>
        </row>
        <row r="595">
          <cell r="BD595">
            <v>3509520</v>
          </cell>
          <cell r="BG595">
            <v>15301508</v>
          </cell>
        </row>
        <row r="596">
          <cell r="BD596">
            <v>2263150</v>
          </cell>
          <cell r="BG596">
            <v>9867334</v>
          </cell>
        </row>
        <row r="597">
          <cell r="BD597">
            <v>1482545</v>
          </cell>
          <cell r="BG597">
            <v>6463897</v>
          </cell>
        </row>
        <row r="598">
          <cell r="BD598">
            <v>1050025</v>
          </cell>
          <cell r="BG598">
            <v>7424816</v>
          </cell>
        </row>
        <row r="599">
          <cell r="BD599">
            <v>2852968.75</v>
          </cell>
          <cell r="BG599">
            <v>11482900</v>
          </cell>
        </row>
        <row r="600">
          <cell r="BD600">
            <v>1411313.4</v>
          </cell>
          <cell r="BG600">
            <v>5171547.1500000004</v>
          </cell>
        </row>
        <row r="601">
          <cell r="BD601">
            <v>2865967.5</v>
          </cell>
          <cell r="BG601">
            <v>11513980</v>
          </cell>
        </row>
        <row r="602">
          <cell r="BD602">
            <v>4676570</v>
          </cell>
          <cell r="BG602">
            <v>20346248</v>
          </cell>
        </row>
        <row r="603">
          <cell r="BD603">
            <v>4225800</v>
          </cell>
          <cell r="BG603">
            <v>18464483</v>
          </cell>
        </row>
        <row r="604">
          <cell r="BD604">
            <v>966765</v>
          </cell>
          <cell r="BG604">
            <v>4215088</v>
          </cell>
        </row>
        <row r="605">
          <cell r="BD605">
            <v>3306150</v>
          </cell>
          <cell r="BG605">
            <v>14415459</v>
          </cell>
        </row>
        <row r="606">
          <cell r="BD606">
            <v>1506728</v>
          </cell>
          <cell r="BG606">
            <v>6555113</v>
          </cell>
        </row>
        <row r="607">
          <cell r="BD607">
            <v>926339</v>
          </cell>
          <cell r="BG607">
            <v>4029635</v>
          </cell>
        </row>
        <row r="608">
          <cell r="BD608">
            <v>110326525</v>
          </cell>
          <cell r="BG608">
            <v>321831199.22000003</v>
          </cell>
        </row>
        <row r="609">
          <cell r="BD609">
            <v>113458586</v>
          </cell>
          <cell r="BG609">
            <v>330156092.60000002</v>
          </cell>
        </row>
        <row r="610">
          <cell r="BD610">
            <v>116172207</v>
          </cell>
          <cell r="BG610">
            <v>336738411.19999999</v>
          </cell>
        </row>
        <row r="611">
          <cell r="BD611">
            <v>117899374</v>
          </cell>
          <cell r="BG611">
            <v>341010968.85000002</v>
          </cell>
        </row>
        <row r="612">
          <cell r="BD612">
            <v>112094302</v>
          </cell>
          <cell r="BG612">
            <v>326186043.06999999</v>
          </cell>
        </row>
        <row r="613">
          <cell r="BD613">
            <v>73785207</v>
          </cell>
          <cell r="BG613">
            <v>210274428.65000001</v>
          </cell>
        </row>
        <row r="614">
          <cell r="BD614">
            <v>72531617</v>
          </cell>
          <cell r="BG614">
            <v>206693552.44999999</v>
          </cell>
        </row>
        <row r="615">
          <cell r="BD615">
            <v>146643451</v>
          </cell>
          <cell r="BG615">
            <v>416793129</v>
          </cell>
        </row>
        <row r="616">
          <cell r="BD616">
            <v>92614980</v>
          </cell>
          <cell r="BG616">
            <v>263958512</v>
          </cell>
        </row>
        <row r="617">
          <cell r="BD617">
            <v>91005354</v>
          </cell>
          <cell r="BG617">
            <v>259274813.5</v>
          </cell>
        </row>
        <row r="618">
          <cell r="BD618">
            <v>33054701</v>
          </cell>
          <cell r="BG618">
            <v>96507553</v>
          </cell>
        </row>
        <row r="619">
          <cell r="BD619">
            <v>38477221</v>
          </cell>
          <cell r="BG619">
            <v>112353436</v>
          </cell>
        </row>
        <row r="620">
          <cell r="BD620">
            <v>33699859</v>
          </cell>
          <cell r="BG620">
            <v>98390922</v>
          </cell>
        </row>
        <row r="621">
          <cell r="BD621">
            <v>41629090</v>
          </cell>
          <cell r="BG621">
            <v>51621896</v>
          </cell>
        </row>
        <row r="622">
          <cell r="BD622">
            <v>24618571</v>
          </cell>
          <cell r="BG622">
            <v>78709428</v>
          </cell>
        </row>
        <row r="623">
          <cell r="BD623">
            <v>2252250</v>
          </cell>
          <cell r="BG623">
            <v>5917995</v>
          </cell>
        </row>
        <row r="624">
          <cell r="BD624">
            <v>8084250</v>
          </cell>
          <cell r="BG624">
            <v>24090165</v>
          </cell>
        </row>
        <row r="625">
          <cell r="BD625">
            <v>14464140</v>
          </cell>
          <cell r="BG625">
            <v>42958494</v>
          </cell>
        </row>
        <row r="626">
          <cell r="BD626">
            <v>13915440</v>
          </cell>
          <cell r="BG626">
            <v>41607164</v>
          </cell>
        </row>
        <row r="627">
          <cell r="BD627">
            <v>18219420</v>
          </cell>
          <cell r="BG627">
            <v>53565094</v>
          </cell>
        </row>
        <row r="628">
          <cell r="BD628">
            <v>6754828</v>
          </cell>
          <cell r="BG628">
            <v>22562126</v>
          </cell>
        </row>
        <row r="629">
          <cell r="BD629">
            <v>3624407</v>
          </cell>
          <cell r="BG629">
            <v>11614822</v>
          </cell>
        </row>
        <row r="630">
          <cell r="BD630">
            <v>17037150</v>
          </cell>
          <cell r="BG630">
            <v>54348508</v>
          </cell>
        </row>
        <row r="631">
          <cell r="BD631">
            <v>4234157</v>
          </cell>
          <cell r="BG631">
            <v>12652151</v>
          </cell>
        </row>
        <row r="632">
          <cell r="BD632">
            <v>1629600</v>
          </cell>
          <cell r="BG632">
            <v>5279904</v>
          </cell>
        </row>
        <row r="633">
          <cell r="BD633">
            <v>0</v>
          </cell>
          <cell r="BG633">
            <v>0</v>
          </cell>
        </row>
        <row r="634">
          <cell r="BD634">
            <v>15064050</v>
          </cell>
          <cell r="BG634">
            <v>48054319.5</v>
          </cell>
        </row>
        <row r="635">
          <cell r="BD635">
            <v>0</v>
          </cell>
          <cell r="BG635">
            <v>0</v>
          </cell>
        </row>
        <row r="636">
          <cell r="BD636">
            <v>0</v>
          </cell>
          <cell r="BG636">
            <v>0</v>
          </cell>
        </row>
        <row r="637">
          <cell r="BD637">
            <v>0</v>
          </cell>
          <cell r="BG6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">
          <cell r="F8">
            <v>234.192204</v>
          </cell>
          <cell r="G8">
            <v>0.57444321484799987</v>
          </cell>
          <cell r="H8">
            <v>6.9139120760479997</v>
          </cell>
          <cell r="I8">
            <v>0.12364750327999999</v>
          </cell>
          <cell r="J8">
            <v>4.6871008301747201</v>
          </cell>
        </row>
        <row r="9">
          <cell r="F9">
            <v>7.2274919999999998</v>
          </cell>
          <cell r="G9">
            <v>7.5581999999999996E-2</v>
          </cell>
          <cell r="H9">
            <v>2.1374436600000006</v>
          </cell>
          <cell r="I9">
            <v>3.6545800000000002E-3</v>
          </cell>
          <cell r="J9">
            <v>0.14402698560000002</v>
          </cell>
        </row>
        <row r="10">
          <cell r="F10">
            <v>355.38159999999999</v>
          </cell>
          <cell r="G10">
            <v>1.3107999600000002</v>
          </cell>
          <cell r="H10">
            <v>14.067884225500002</v>
          </cell>
          <cell r="I10">
            <v>0.27393563700000007</v>
          </cell>
          <cell r="J10">
            <v>7.1041833600000022</v>
          </cell>
        </row>
        <row r="11">
          <cell r="F11">
            <v>119.15908899999999</v>
          </cell>
          <cell r="G11">
            <v>0.9490000000000004</v>
          </cell>
          <cell r="H11">
            <v>8.1396868100000006</v>
          </cell>
          <cell r="I11">
            <v>0.22540816</v>
          </cell>
          <cell r="J11">
            <v>2.3881580240000013</v>
          </cell>
        </row>
        <row r="12">
          <cell r="N12">
            <v>2.8020203633333338</v>
          </cell>
        </row>
        <row r="13">
          <cell r="F13">
            <v>4.9607999999999999</v>
          </cell>
          <cell r="G13">
            <v>7.1999999999999995E-2</v>
          </cell>
          <cell r="H13">
            <v>0.80937533599999956</v>
          </cell>
          <cell r="I13">
            <v>0</v>
          </cell>
          <cell r="J13">
            <v>7.4212799999999982E-2</v>
          </cell>
        </row>
        <row r="15">
          <cell r="F15">
            <v>46.113309999999998</v>
          </cell>
          <cell r="G15">
            <v>1.2925439999999999</v>
          </cell>
          <cell r="H15">
            <v>5.9239492000000009</v>
          </cell>
          <cell r="I15">
            <v>6.1849649999999839E-2</v>
          </cell>
          <cell r="J15">
            <v>0.9180781999999994</v>
          </cell>
        </row>
        <row r="16">
          <cell r="F16">
            <v>45.867043000000002</v>
          </cell>
          <cell r="G16">
            <v>0.79856820000000006</v>
          </cell>
          <cell r="H16">
            <v>4.0507200000000001</v>
          </cell>
          <cell r="I16">
            <v>0.10382269000000001</v>
          </cell>
          <cell r="J16">
            <v>0.92042805600000066</v>
          </cell>
        </row>
        <row r="17">
          <cell r="F17">
            <v>56.265599999999999</v>
          </cell>
          <cell r="G17">
            <v>1.5950861999999999</v>
          </cell>
          <cell r="H17">
            <v>5.2273421999999998</v>
          </cell>
          <cell r="I17">
            <v>0.14769300000000002</v>
          </cell>
          <cell r="J17">
            <v>1.1294224000000002</v>
          </cell>
        </row>
        <row r="18">
          <cell r="F18">
            <v>62.231000000000002</v>
          </cell>
          <cell r="G18">
            <v>1.9982392000000007</v>
          </cell>
          <cell r="H18">
            <v>3.4897720000000008</v>
          </cell>
          <cell r="I18">
            <v>0.28048324999999974</v>
          </cell>
          <cell r="J18">
            <v>5.1609208999999971</v>
          </cell>
        </row>
        <row r="20">
          <cell r="F20">
            <v>20.371179100000003</v>
          </cell>
        </row>
        <row r="21">
          <cell r="F21">
            <v>5.7160650000000004</v>
          </cell>
        </row>
        <row r="22">
          <cell r="F22">
            <v>9.4147096999999995</v>
          </cell>
          <cell r="G22">
            <v>4.1999999999999996E-2</v>
          </cell>
          <cell r="H22">
            <v>0.5870609123049999</v>
          </cell>
          <cell r="I22">
            <v>0</v>
          </cell>
          <cell r="J22">
            <v>0.19506116840000004</v>
          </cell>
        </row>
        <row r="23">
          <cell r="F23">
            <v>29.029299999999999</v>
          </cell>
          <cell r="G23">
            <v>0.22800000000000001</v>
          </cell>
          <cell r="H23">
            <v>1.357472</v>
          </cell>
          <cell r="I23">
            <v>5.3332799999999986E-2</v>
          </cell>
          <cell r="J23">
            <v>0.58524200000000004</v>
          </cell>
        </row>
        <row r="26">
          <cell r="F26">
            <v>4190.3910130000004</v>
          </cell>
          <cell r="G26">
            <v>531.91013962415605</v>
          </cell>
          <cell r="H26">
            <v>1540.9623820959844</v>
          </cell>
        </row>
        <row r="27">
          <cell r="F27">
            <v>921.12072599999999</v>
          </cell>
          <cell r="G27">
            <v>160.96080000000003</v>
          </cell>
          <cell r="H27">
            <v>327.97947041526839</v>
          </cell>
        </row>
        <row r="28">
          <cell r="F28">
            <v>372.85941000000003</v>
          </cell>
          <cell r="G28">
            <v>200.16517949697942</v>
          </cell>
          <cell r="H28">
            <v>148.0133904334001</v>
          </cell>
        </row>
        <row r="29">
          <cell r="F29">
            <v>1015.98948</v>
          </cell>
          <cell r="G29">
            <v>304.33260003799995</v>
          </cell>
          <cell r="H29">
            <v>373.55651903240005</v>
          </cell>
        </row>
        <row r="30">
          <cell r="F30">
            <v>1089.630365</v>
          </cell>
          <cell r="G30">
            <v>412.53779322811761</v>
          </cell>
          <cell r="H30">
            <v>378.22781757319996</v>
          </cell>
        </row>
        <row r="32">
          <cell r="F32">
            <v>276.50040000000001</v>
          </cell>
          <cell r="G32">
            <v>67.17</v>
          </cell>
          <cell r="H32">
            <v>104.08</v>
          </cell>
        </row>
        <row r="40">
          <cell r="F40">
            <v>1179.4429606152421</v>
          </cell>
          <cell r="G40">
            <v>115.4856511</v>
          </cell>
          <cell r="H40">
            <v>312.2128007</v>
          </cell>
        </row>
        <row r="41">
          <cell r="F41">
            <v>316.89903835933603</v>
          </cell>
          <cell r="G41">
            <v>33.969209499999998</v>
          </cell>
          <cell r="H41">
            <v>82.626446700000002</v>
          </cell>
        </row>
        <row r="42">
          <cell r="F42">
            <v>1158.7748083146651</v>
          </cell>
          <cell r="G42">
            <v>92.336179000000001</v>
          </cell>
          <cell r="H42">
            <v>239.93499560000001</v>
          </cell>
        </row>
        <row r="43">
          <cell r="F43">
            <v>495.504501620827</v>
          </cell>
          <cell r="G43">
            <v>107.5102764</v>
          </cell>
          <cell r="H43">
            <v>168.08474509999999</v>
          </cell>
        </row>
        <row r="44">
          <cell r="F44">
            <v>422.30136264120353</v>
          </cell>
          <cell r="G44">
            <v>36.452868600000002</v>
          </cell>
          <cell r="H44">
            <v>113.4016345</v>
          </cell>
        </row>
        <row r="45">
          <cell r="F45">
            <v>540.76073456521533</v>
          </cell>
          <cell r="G45">
            <v>51.121735800000003</v>
          </cell>
          <cell r="H45">
            <v>149.23761300000001</v>
          </cell>
        </row>
        <row r="46">
          <cell r="F46">
            <v>370.95321220738776</v>
          </cell>
          <cell r="G46">
            <v>38.282114999999997</v>
          </cell>
          <cell r="H46">
            <v>91.414043400000011</v>
          </cell>
        </row>
        <row r="47">
          <cell r="F47">
            <v>177.6527789072278</v>
          </cell>
          <cell r="G47">
            <v>48.076420599999999</v>
          </cell>
          <cell r="H47">
            <v>47.276922999999996</v>
          </cell>
        </row>
        <row r="49">
          <cell r="F49">
            <v>65.002930523746997</v>
          </cell>
          <cell r="K49">
            <v>11.680857899999999</v>
          </cell>
        </row>
        <row r="50">
          <cell r="F50">
            <v>1140.5882552005332</v>
          </cell>
          <cell r="H50">
            <v>398.39509070000003</v>
          </cell>
        </row>
        <row r="52">
          <cell r="F52">
            <v>489.55279189410402</v>
          </cell>
          <cell r="G52">
            <v>111.8621912</v>
          </cell>
          <cell r="H52">
            <v>165.70754679999999</v>
          </cell>
        </row>
        <row r="54">
          <cell r="F54">
            <v>290.73517772492301</v>
          </cell>
          <cell r="G54">
            <v>106.1484531</v>
          </cell>
          <cell r="H54">
            <v>114.01052319999999</v>
          </cell>
        </row>
        <row r="58">
          <cell r="F58">
            <v>1251.980911165025</v>
          </cell>
          <cell r="K58">
            <v>512.78779899999995</v>
          </cell>
        </row>
        <row r="59">
          <cell r="K59">
            <v>1630.1434899000001</v>
          </cell>
        </row>
        <row r="60">
          <cell r="F60">
            <v>150.40623995908101</v>
          </cell>
          <cell r="K60">
            <v>77.079736999999994</v>
          </cell>
        </row>
        <row r="61">
          <cell r="F61">
            <v>732.26582524899993</v>
          </cell>
          <cell r="H61">
            <v>297.87219909999999</v>
          </cell>
        </row>
        <row r="62">
          <cell r="F62">
            <v>1498.3672241665461</v>
          </cell>
          <cell r="G62">
            <v>254.7474938</v>
          </cell>
          <cell r="H62">
            <v>411.948803</v>
          </cell>
        </row>
        <row r="63">
          <cell r="F63">
            <v>1220.613353903547</v>
          </cell>
          <cell r="G63">
            <v>768.63561460000005</v>
          </cell>
          <cell r="H63">
            <v>471.82908689999999</v>
          </cell>
        </row>
        <row r="64">
          <cell r="F64">
            <v>20.615415599304999</v>
          </cell>
          <cell r="N64">
            <v>9.5178419999999999</v>
          </cell>
        </row>
        <row r="67">
          <cell r="F67">
            <v>2046.303536808736</v>
          </cell>
          <cell r="G67">
            <v>735.52</v>
          </cell>
          <cell r="H67">
            <v>710.75</v>
          </cell>
          <cell r="N67">
            <v>1446.2726150771077</v>
          </cell>
        </row>
        <row r="74">
          <cell r="F74">
            <v>751.95875636884796</v>
          </cell>
          <cell r="K74">
            <v>361.7279887999008</v>
          </cell>
        </row>
        <row r="75">
          <cell r="F75">
            <v>70.319685000000007</v>
          </cell>
          <cell r="K75">
            <v>38.595931299999997</v>
          </cell>
        </row>
        <row r="76">
          <cell r="F76">
            <v>446.33659475000002</v>
          </cell>
          <cell r="K76">
            <v>142.08301546300001</v>
          </cell>
        </row>
        <row r="77">
          <cell r="F77">
            <v>2781.2900870118701</v>
          </cell>
          <cell r="K77">
            <v>1056.7566974721333</v>
          </cell>
        </row>
        <row r="78">
          <cell r="F78">
            <v>7.1897099999999998</v>
          </cell>
          <cell r="K78">
            <v>2.6090507706612787</v>
          </cell>
        </row>
        <row r="79">
          <cell r="F79">
            <v>4.0019790000000004</v>
          </cell>
          <cell r="M79">
            <v>2.4095818000000002</v>
          </cell>
        </row>
        <row r="83">
          <cell r="F83">
            <v>90.674231000000006</v>
          </cell>
          <cell r="K83">
            <v>44.639678000000004</v>
          </cell>
        </row>
        <row r="84">
          <cell r="F84">
            <v>12.73</v>
          </cell>
        </row>
        <row r="85">
          <cell r="F85">
            <v>29.37</v>
          </cell>
        </row>
        <row r="96">
          <cell r="F96">
            <v>84.288825615999997</v>
          </cell>
          <cell r="K96">
            <v>31.4825436</v>
          </cell>
        </row>
        <row r="97">
          <cell r="F97">
            <v>17.13184490235</v>
          </cell>
          <cell r="K97">
            <v>0.54423809999999995</v>
          </cell>
        </row>
        <row r="102">
          <cell r="N102">
            <v>3.4881399000000002</v>
          </cell>
        </row>
        <row r="104">
          <cell r="F104">
            <v>-20.060350093283706</v>
          </cell>
          <cell r="K104">
            <v>3.9028204999999998</v>
          </cell>
        </row>
        <row r="106">
          <cell r="F106">
            <v>-726.43442100000004</v>
          </cell>
          <cell r="K106">
            <v>-200.41</v>
          </cell>
        </row>
        <row r="108">
          <cell r="N108">
            <v>1741.8089808</v>
          </cell>
        </row>
        <row r="109">
          <cell r="N109">
            <v>9.81</v>
          </cell>
        </row>
        <row r="111">
          <cell r="F111">
            <v>1702.856</v>
          </cell>
          <cell r="K111">
            <v>706.73950439999999</v>
          </cell>
        </row>
        <row r="112">
          <cell r="F112">
            <v>20.582668000000002</v>
          </cell>
          <cell r="K112">
            <v>8.6639949999999999</v>
          </cell>
        </row>
        <row r="114">
          <cell r="N114">
            <v>6.2631177999999998</v>
          </cell>
        </row>
        <row r="116">
          <cell r="N116">
            <v>72.788122599999994</v>
          </cell>
        </row>
        <row r="117">
          <cell r="N117">
            <v>-138.99159090000001</v>
          </cell>
        </row>
        <row r="119">
          <cell r="F119">
            <v>32392.694144619971</v>
          </cell>
          <cell r="N119">
            <v>19144.941717881087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old"/>
      <sheetName val="O&amp;M Expenses"/>
      <sheetName val="Sheet4"/>
      <sheetName val="BS"/>
      <sheetName val="PL"/>
      <sheetName val="SOCIE"/>
      <sheetName val="2.3"/>
      <sheetName val="2.4"/>
      <sheetName val="2.5 to 2.15"/>
      <sheetName val="2.16"/>
      <sheetName val="2.17 to 2.27"/>
      <sheetName val="2.28 to 2.37"/>
      <sheetName val="Sheet5"/>
      <sheetName val="new"/>
      <sheetName val="chapter-3"/>
      <sheetName val="chapter-5"/>
      <sheetName val="Sheet7"/>
      <sheetName val="Current maturities"/>
      <sheetName val="D9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3">
          <cell r="G33">
            <v>19824073</v>
          </cell>
        </row>
        <row r="42">
          <cell r="G42">
            <v>168219017</v>
          </cell>
        </row>
        <row r="43">
          <cell r="G43">
            <v>711500586</v>
          </cell>
        </row>
      </sheetData>
      <sheetData sheetId="13" refreshError="1">
        <row r="94">
          <cell r="E94">
            <v>551.33120184799998</v>
          </cell>
        </row>
        <row r="95">
          <cell r="E95">
            <v>8.1011447770000018</v>
          </cell>
        </row>
        <row r="96">
          <cell r="E96">
            <v>174.71835530000001</v>
          </cell>
        </row>
        <row r="97">
          <cell r="E97">
            <v>96.116194394000004</v>
          </cell>
        </row>
        <row r="98">
          <cell r="E98">
            <v>3.5547542999999999</v>
          </cell>
        </row>
        <row r="101">
          <cell r="E101">
            <v>11.684551170000001</v>
          </cell>
        </row>
        <row r="103">
          <cell r="C103">
            <v>296.72000000000003</v>
          </cell>
          <cell r="E103">
            <v>191.79086764499999</v>
          </cell>
        </row>
        <row r="106">
          <cell r="E106">
            <v>11.2798385</v>
          </cell>
        </row>
        <row r="107">
          <cell r="E107">
            <v>2.1124E-3</v>
          </cell>
        </row>
        <row r="108">
          <cell r="E108">
            <v>25.430920799999999</v>
          </cell>
        </row>
        <row r="109">
          <cell r="E109">
            <v>23.1843431</v>
          </cell>
        </row>
        <row r="110">
          <cell r="E110">
            <v>13.211147800000001</v>
          </cell>
        </row>
        <row r="111">
          <cell r="E111">
            <v>7.9567182009999993</v>
          </cell>
        </row>
        <row r="115">
          <cell r="E115">
            <v>7.2248800000000002E-2</v>
          </cell>
        </row>
        <row r="119">
          <cell r="E119">
            <v>-7.8023563999999999</v>
          </cell>
        </row>
      </sheetData>
      <sheetData sheetId="14" refreshError="1"/>
      <sheetData sheetId="15" refreshError="1"/>
      <sheetData sheetId="16" refreshError="1">
        <row r="102">
          <cell r="E102">
            <v>71.589480929964509</v>
          </cell>
        </row>
        <row r="135">
          <cell r="D135">
            <v>210.56</v>
          </cell>
        </row>
        <row r="136">
          <cell r="D136">
            <v>11.523999999999999</v>
          </cell>
        </row>
        <row r="141">
          <cell r="C141">
            <v>0.197767314</v>
          </cell>
        </row>
        <row r="142">
          <cell r="C142">
            <v>1.4680754</v>
          </cell>
        </row>
        <row r="143">
          <cell r="C143">
            <v>12.724493606000001</v>
          </cell>
        </row>
        <row r="144">
          <cell r="C144">
            <v>7.6</v>
          </cell>
        </row>
        <row r="145">
          <cell r="C145">
            <v>4.8686830000000004E-3</v>
          </cell>
        </row>
        <row r="147">
          <cell r="C147">
            <v>-2.2799999999999998</v>
          </cell>
        </row>
      </sheetData>
      <sheetData sheetId="17" refreshError="1">
        <row r="107">
          <cell r="H107">
            <v>3.4264865620199996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OCIE"/>
      <sheetName val="2.3"/>
      <sheetName val="2.4"/>
      <sheetName val="2.5 to 2.15"/>
      <sheetName val="2.16"/>
      <sheetName val="2.17 to 2.27"/>
      <sheetName val="Current Maturity details"/>
      <sheetName val="2.28 to 2.37"/>
      <sheetName val="Sheet2"/>
      <sheetName val="TB"/>
      <sheetName val="Sheet1"/>
    </sheetNames>
    <sheetDataSet>
      <sheetData sheetId="0" refreshError="1"/>
      <sheetData sheetId="1"/>
      <sheetData sheetId="2" refreshError="1"/>
      <sheetData sheetId="3">
        <row r="71">
          <cell r="C71">
            <v>2.618376</v>
          </cell>
          <cell r="D71">
            <v>58.311986724999997</v>
          </cell>
          <cell r="E71">
            <v>1.6216609</v>
          </cell>
          <cell r="F71">
            <v>0.6858862</v>
          </cell>
          <cell r="G71">
            <v>1017.1317226715</v>
          </cell>
          <cell r="H71">
            <v>2283.2728397587625</v>
          </cell>
          <cell r="I71">
            <v>1.2585123030000001</v>
          </cell>
          <cell r="J71">
            <v>1.4741119810000001</v>
          </cell>
          <cell r="K71">
            <v>1.2528917920000002</v>
          </cell>
          <cell r="M71">
            <v>7.1099028750000119</v>
          </cell>
          <cell r="Q71">
            <v>16.135665599999999</v>
          </cell>
        </row>
        <row r="72">
          <cell r="C72">
            <v>0</v>
          </cell>
          <cell r="D72">
            <v>6.1450189999999998E-3</v>
          </cell>
          <cell r="E72">
            <v>0</v>
          </cell>
          <cell r="F72">
            <v>0</v>
          </cell>
          <cell r="G72">
            <v>237.01513216717015</v>
          </cell>
          <cell r="H72">
            <v>86.964084100301974</v>
          </cell>
          <cell r="I72">
            <v>0.86947729200000001</v>
          </cell>
          <cell r="J72">
            <v>0.47894137536379994</v>
          </cell>
          <cell r="K72">
            <v>0.24760034788299995</v>
          </cell>
          <cell r="Q72">
            <v>7.8511034000000004</v>
          </cell>
        </row>
        <row r="84">
          <cell r="D84">
            <v>8.9230774234914669</v>
          </cell>
          <cell r="E84">
            <v>0.37190170604960004</v>
          </cell>
          <cell r="F84">
            <v>0.16048948271059996</v>
          </cell>
          <cell r="G84">
            <v>208.43743684088594</v>
          </cell>
          <cell r="H84">
            <v>631.80227255006002</v>
          </cell>
          <cell r="I84">
            <v>1.9311498039237998</v>
          </cell>
          <cell r="J84">
            <v>1.0530395403989401</v>
          </cell>
          <cell r="K84">
            <v>1.1254290802832199</v>
          </cell>
        </row>
        <row r="85">
          <cell r="D85">
            <v>0.15798906473999905</v>
          </cell>
          <cell r="E85">
            <v>4.0000013541430235E-11</v>
          </cell>
          <cell r="F85">
            <v>2.6891549999999999E-3</v>
          </cell>
          <cell r="G85">
            <v>15.40567066</v>
          </cell>
          <cell r="H85">
            <v>35.467537704000001</v>
          </cell>
          <cell r="I85">
            <v>0.20016753700000003</v>
          </cell>
          <cell r="J85">
            <v>0.42727408835199998</v>
          </cell>
          <cell r="K85">
            <v>9.8115851577999624E-2</v>
          </cell>
        </row>
        <row r="88">
          <cell r="N88">
            <v>4724.6290411219998</v>
          </cell>
        </row>
      </sheetData>
      <sheetData sheetId="4" refreshError="1"/>
      <sheetData sheetId="5" refreshError="1"/>
      <sheetData sheetId="6" refreshError="1"/>
      <sheetData sheetId="7">
        <row r="186">
          <cell r="C186">
            <v>241.21168239000002</v>
          </cell>
        </row>
        <row r="188">
          <cell r="C188">
            <v>3844.9492512219999</v>
          </cell>
        </row>
      </sheetData>
      <sheetData sheetId="8" refreshError="1"/>
      <sheetData sheetId="9">
        <row r="31">
          <cell r="C31">
            <v>9.1696056939999995</v>
          </cell>
          <cell r="E31">
            <v>7.9654767920000005</v>
          </cell>
        </row>
        <row r="33">
          <cell r="C33">
            <v>0.26116442499999998</v>
          </cell>
          <cell r="E33">
            <v>4.3955000000000001E-3</v>
          </cell>
        </row>
        <row r="34">
          <cell r="C34">
            <v>-11.010174661000001</v>
          </cell>
          <cell r="E34">
            <v>-4.0501253969999995</v>
          </cell>
        </row>
        <row r="35">
          <cell r="C35">
            <v>3.1946226280000003</v>
          </cell>
          <cell r="E35">
            <v>3.3593005509999996</v>
          </cell>
        </row>
        <row r="36">
          <cell r="C36">
            <v>122.3539289</v>
          </cell>
          <cell r="E36">
            <v>209.35967020000001</v>
          </cell>
        </row>
        <row r="38">
          <cell r="C38">
            <v>0.138156426</v>
          </cell>
          <cell r="E38">
            <v>0.12042148600000001</v>
          </cell>
        </row>
        <row r="39">
          <cell r="C39">
            <v>148.65971055699998</v>
          </cell>
          <cell r="E39">
            <v>165.68889800700001</v>
          </cell>
        </row>
        <row r="40">
          <cell r="E40">
            <v>30.818100000000001</v>
          </cell>
        </row>
        <row r="41">
          <cell r="C41">
            <v>7.0486500000000003</v>
          </cell>
          <cell r="E41">
            <v>6.3463000000000003</v>
          </cell>
        </row>
        <row r="42">
          <cell r="C42">
            <v>200.41114820000001</v>
          </cell>
          <cell r="E42">
            <v>165.0377661</v>
          </cell>
        </row>
        <row r="72">
          <cell r="C72">
            <v>70.633653702999993</v>
          </cell>
          <cell r="E72">
            <v>77.587199645999988</v>
          </cell>
        </row>
        <row r="74">
          <cell r="C74">
            <v>2.4633640800000003</v>
          </cell>
          <cell r="E74">
            <v>2.4197604149999998</v>
          </cell>
        </row>
        <row r="75">
          <cell r="C75">
            <v>0.42120610000000003</v>
          </cell>
          <cell r="E75">
            <v>0.41989473200000005</v>
          </cell>
        </row>
        <row r="78">
          <cell r="C78">
            <v>28.208953347000001</v>
          </cell>
          <cell r="E78">
            <v>30.299774074000002</v>
          </cell>
        </row>
        <row r="79">
          <cell r="C79">
            <v>0.59405264999999996</v>
          </cell>
          <cell r="E79">
            <v>0.58128826300000003</v>
          </cell>
        </row>
        <row r="80">
          <cell r="C80">
            <v>2.0399E-2</v>
          </cell>
          <cell r="E80">
            <v>1.1673E-3</v>
          </cell>
        </row>
        <row r="81">
          <cell r="C81">
            <v>3.4892346999999999</v>
          </cell>
          <cell r="E81">
            <v>1.0533857</v>
          </cell>
        </row>
        <row r="82">
          <cell r="C82">
            <v>0</v>
          </cell>
        </row>
        <row r="85">
          <cell r="C85">
            <v>3.7717133769999998</v>
          </cell>
          <cell r="E85">
            <v>3.7822406000000002</v>
          </cell>
        </row>
        <row r="94">
          <cell r="C94">
            <v>753.73347709999996</v>
          </cell>
          <cell r="E94">
            <v>700.93707759999995</v>
          </cell>
        </row>
        <row r="95">
          <cell r="C95">
            <v>15.1222686</v>
          </cell>
          <cell r="E95">
            <v>9.9948689000000002</v>
          </cell>
        </row>
        <row r="96">
          <cell r="C96">
            <v>76.994703756999996</v>
          </cell>
          <cell r="E96">
            <v>102.594293143</v>
          </cell>
        </row>
        <row r="97">
          <cell r="C97">
            <v>147.78034242799998</v>
          </cell>
          <cell r="E97">
            <v>162.194757063</v>
          </cell>
        </row>
        <row r="98">
          <cell r="C98">
            <v>2.1447004000000001</v>
          </cell>
          <cell r="E98">
            <v>3.6565151999999999</v>
          </cell>
        </row>
        <row r="101">
          <cell r="C101">
            <v>11.2451162</v>
          </cell>
        </row>
        <row r="103">
          <cell r="C103">
            <v>399.57701934700003</v>
          </cell>
        </row>
        <row r="106">
          <cell r="C106">
            <v>11.861595295000001</v>
          </cell>
          <cell r="E106">
            <v>10.309161958000001</v>
          </cell>
        </row>
        <row r="107">
          <cell r="C107">
            <v>7.7245999999999999E-3</v>
          </cell>
          <cell r="E107">
            <v>1.7370400000000001E-2</v>
          </cell>
        </row>
        <row r="108">
          <cell r="C108">
            <v>35.13975336</v>
          </cell>
          <cell r="E108">
            <v>22.18517817</v>
          </cell>
        </row>
        <row r="109">
          <cell r="C109">
            <v>37.065985560000001</v>
          </cell>
          <cell r="E109">
            <v>22.278516240000002</v>
          </cell>
        </row>
        <row r="110">
          <cell r="C110">
            <v>21.739062700000002</v>
          </cell>
        </row>
        <row r="111">
          <cell r="C111">
            <v>6.2107353329999997</v>
          </cell>
          <cell r="E111">
            <v>5.655786891</v>
          </cell>
        </row>
        <row r="115">
          <cell r="C115">
            <v>6.0995500000000001E-2</v>
          </cell>
          <cell r="E115">
            <v>0.248728</v>
          </cell>
        </row>
        <row r="117">
          <cell r="C117">
            <v>1518.6834801799998</v>
          </cell>
        </row>
        <row r="119">
          <cell r="C119">
            <v>-5.2735950999999996</v>
          </cell>
          <cell r="E119">
            <v>-4.9057000999999998</v>
          </cell>
        </row>
        <row r="130">
          <cell r="C130">
            <v>-206.47568480000001</v>
          </cell>
        </row>
        <row r="148">
          <cell r="C148">
            <v>994.74271861097941</v>
          </cell>
        </row>
        <row r="149">
          <cell r="C149">
            <v>241.21168239000002</v>
          </cell>
        </row>
        <row r="157">
          <cell r="C157">
            <v>28.058322189999998</v>
          </cell>
          <cell r="E157">
            <v>21.579711516</v>
          </cell>
        </row>
        <row r="158">
          <cell r="C158">
            <v>8.5746559659999999</v>
          </cell>
          <cell r="E158">
            <v>9.5308557199999981</v>
          </cell>
        </row>
        <row r="159">
          <cell r="C159">
            <v>242.12807019299999</v>
          </cell>
          <cell r="E159">
            <v>206.94896402699999</v>
          </cell>
        </row>
        <row r="160">
          <cell r="C160">
            <v>4.4023184000000004</v>
          </cell>
          <cell r="E160">
            <v>4.3802624000000003</v>
          </cell>
        </row>
        <row r="161">
          <cell r="C161">
            <v>53.403843129999998</v>
          </cell>
          <cell r="E161">
            <v>49.566589661999998</v>
          </cell>
        </row>
        <row r="162">
          <cell r="C162">
            <v>6.0563295000000004</v>
          </cell>
          <cell r="E162">
            <v>5.0490439</v>
          </cell>
        </row>
        <row r="163">
          <cell r="C163">
            <v>5.62023735</v>
          </cell>
          <cell r="E163">
            <v>5.4228592750000004</v>
          </cell>
        </row>
        <row r="164">
          <cell r="C164">
            <v>4.4758240999999996</v>
          </cell>
          <cell r="E164">
            <v>3.3082672999999998</v>
          </cell>
        </row>
        <row r="165">
          <cell r="C165">
            <v>0.59260330000000006</v>
          </cell>
          <cell r="E165">
            <v>0.60377099999999995</v>
          </cell>
        </row>
        <row r="166">
          <cell r="C166">
            <v>0.32706000000000002</v>
          </cell>
          <cell r="E166">
            <v>0.31691649999999999</v>
          </cell>
        </row>
        <row r="167">
          <cell r="C167">
            <v>4.0625517740000001</v>
          </cell>
          <cell r="E167">
            <v>2.699798269</v>
          </cell>
        </row>
        <row r="170">
          <cell r="C170">
            <v>1.1330374000000001</v>
          </cell>
          <cell r="E170">
            <v>0.52026340000000004</v>
          </cell>
        </row>
        <row r="173">
          <cell r="C173">
            <v>0.535578</v>
          </cell>
          <cell r="E173">
            <v>0.54314209999999996</v>
          </cell>
        </row>
        <row r="174">
          <cell r="C174">
            <v>0.38981345000000001</v>
          </cell>
          <cell r="E174">
            <v>0.94910740000000005</v>
          </cell>
        </row>
        <row r="176">
          <cell r="C176">
            <v>9.3431592549999998</v>
          </cell>
          <cell r="E176">
            <v>5.4713816180000006</v>
          </cell>
        </row>
        <row r="179">
          <cell r="C179">
            <v>0.12</v>
          </cell>
          <cell r="E179">
            <v>0.12</v>
          </cell>
        </row>
        <row r="180">
          <cell r="C180">
            <v>0.02</v>
          </cell>
          <cell r="E180">
            <v>0.02</v>
          </cell>
        </row>
        <row r="183">
          <cell r="C183">
            <v>3</v>
          </cell>
          <cell r="E183">
            <v>2.750089</v>
          </cell>
        </row>
        <row r="184">
          <cell r="C184">
            <v>-0.64040109999999995</v>
          </cell>
          <cell r="E184">
            <v>-0.60603640000000003</v>
          </cell>
        </row>
        <row r="185">
          <cell r="C185">
            <v>371.60300290800001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-3"/>
      <sheetName val="chapter-4"/>
    </sheetNames>
    <sheetDataSet>
      <sheetData sheetId="0">
        <row r="64">
          <cell r="K64">
            <v>109.602576957</v>
          </cell>
        </row>
        <row r="69">
          <cell r="G69">
            <v>114.83152707737432</v>
          </cell>
        </row>
        <row r="70">
          <cell r="G70">
            <v>1591.1372525909644</v>
          </cell>
        </row>
        <row r="71">
          <cell r="G71">
            <v>390.00249550235259</v>
          </cell>
        </row>
        <row r="126">
          <cell r="D126">
            <v>380.25</v>
          </cell>
        </row>
        <row r="128">
          <cell r="D128">
            <v>419.25199952093112</v>
          </cell>
        </row>
        <row r="160">
          <cell r="D160">
            <v>238.86524854499999</v>
          </cell>
        </row>
        <row r="161">
          <cell r="D161">
            <v>22.294361567000003</v>
          </cell>
        </row>
        <row r="166">
          <cell r="B166">
            <v>0.55549387500000003</v>
          </cell>
        </row>
        <row r="167">
          <cell r="B167">
            <v>1.010370166</v>
          </cell>
        </row>
        <row r="168">
          <cell r="B168">
            <v>4.2276322390000001</v>
          </cell>
        </row>
        <row r="169">
          <cell r="B169">
            <v>-1.6613230370000005</v>
          </cell>
        </row>
        <row r="170">
          <cell r="B170">
            <v>0</v>
          </cell>
        </row>
        <row r="171">
          <cell r="B171">
            <v>4.6767335E-2</v>
          </cell>
        </row>
        <row r="172">
          <cell r="B172">
            <v>8.0310149319999997</v>
          </cell>
        </row>
        <row r="178">
          <cell r="D178">
            <v>796.6151000000001</v>
          </cell>
        </row>
        <row r="179">
          <cell r="D179">
            <v>15.919404166666666</v>
          </cell>
        </row>
        <row r="194">
          <cell r="M194">
            <v>31625.73</v>
          </cell>
        </row>
        <row r="196">
          <cell r="M196">
            <v>32392.69</v>
          </cell>
        </row>
        <row r="263">
          <cell r="F263">
            <v>5.8291771000000026</v>
          </cell>
        </row>
      </sheetData>
      <sheetData sheetId="1">
        <row r="3">
          <cell r="C3">
            <v>140.12591617966831</v>
          </cell>
          <cell r="D3">
            <v>153.73130985094633</v>
          </cell>
        </row>
        <row r="4">
          <cell r="C4">
            <v>1768.6619201672202</v>
          </cell>
          <cell r="D4">
            <v>1940.3884811869509</v>
          </cell>
        </row>
        <row r="5">
          <cell r="C5">
            <v>411.32711579995953</v>
          </cell>
          <cell r="D5">
            <v>451.26453416412789</v>
          </cell>
        </row>
        <row r="57">
          <cell r="I57">
            <v>2499.995893881</v>
          </cell>
          <cell r="J57">
            <v>3878</v>
          </cell>
        </row>
        <row r="58">
          <cell r="C58">
            <v>2255.0548806801676</v>
          </cell>
          <cell r="D58">
            <v>3180.1490761232249</v>
          </cell>
        </row>
        <row r="59">
          <cell r="C59">
            <v>270.03901526394378</v>
          </cell>
          <cell r="D59">
            <v>284.26681831673255</v>
          </cell>
        </row>
        <row r="64">
          <cell r="C64">
            <v>980.26249598756112</v>
          </cell>
          <cell r="D64">
            <v>1138.5419594257173</v>
          </cell>
        </row>
        <row r="65">
          <cell r="C65">
            <v>202.42897789438365</v>
          </cell>
          <cell r="D65">
            <v>223.09611644157548</v>
          </cell>
        </row>
        <row r="68">
          <cell r="O68">
            <v>4259.8690634339991</v>
          </cell>
          <cell r="P68">
            <v>4694.7835951509987</v>
          </cell>
        </row>
        <row r="69">
          <cell r="O69">
            <v>414.91453171699982</v>
          </cell>
          <cell r="P69">
            <v>434.91453171699982</v>
          </cell>
        </row>
        <row r="97">
          <cell r="B97">
            <v>662.18044940618654</v>
          </cell>
        </row>
        <row r="98">
          <cell r="B98">
            <v>414.40735218661177</v>
          </cell>
        </row>
        <row r="99">
          <cell r="B99">
            <v>255.34925762598596</v>
          </cell>
          <cell r="C99">
            <v>272.44925762598598</v>
          </cell>
        </row>
        <row r="100">
          <cell r="B100">
            <v>22</v>
          </cell>
          <cell r="C100">
            <v>22</v>
          </cell>
        </row>
        <row r="101">
          <cell r="B101">
            <v>223.00916505000001</v>
          </cell>
          <cell r="C101">
            <v>234.15962330250002</v>
          </cell>
        </row>
        <row r="119">
          <cell r="I119">
            <v>448.64343779455999</v>
          </cell>
          <cell r="J119">
            <v>456.12459814556007</v>
          </cell>
        </row>
        <row r="130">
          <cell r="D130">
            <v>656.42</v>
          </cell>
          <cell r="F130">
            <v>1069.8599999999999</v>
          </cell>
          <cell r="G130">
            <v>1271.6199999999999</v>
          </cell>
        </row>
        <row r="131">
          <cell r="D131">
            <v>140</v>
          </cell>
          <cell r="F131">
            <v>201.76</v>
          </cell>
          <cell r="G131">
            <v>201.76</v>
          </cell>
        </row>
        <row r="132">
          <cell r="D132">
            <v>-231.36600000000001</v>
          </cell>
          <cell r="E132">
            <v>-147.66630190300006</v>
          </cell>
          <cell r="F132">
            <v>-1.1564114079753836</v>
          </cell>
          <cell r="G132">
            <v>83.613588592024612</v>
          </cell>
        </row>
        <row r="133">
          <cell r="D133">
            <v>-54.81</v>
          </cell>
          <cell r="E133">
            <v>-54.81</v>
          </cell>
          <cell r="F133">
            <v>-54.81</v>
          </cell>
          <cell r="G133">
            <v>-54.81</v>
          </cell>
        </row>
        <row r="205">
          <cell r="E205">
            <v>1056.6521645594091</v>
          </cell>
        </row>
        <row r="206">
          <cell r="E206">
            <v>448.80900075739265</v>
          </cell>
        </row>
        <row r="217">
          <cell r="E217">
            <v>384.36750000000006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tage wise cost of supply"/>
      <sheetName val="FY20-D23KERC "/>
      <sheetName val="FY22-D23KERC"/>
      <sheetName val="Addl Surcharge-FY22"/>
      <sheetName val="Energy Flow Diagram 22"/>
      <sheetName val="Energy Flow diagram 20"/>
      <sheetName val="Energy Flow diagram 21"/>
      <sheetName val="Sheet5"/>
      <sheetName val="css"/>
    </sheetNames>
    <sheetDataSet>
      <sheetData sheetId="0">
        <row r="21">
          <cell r="C21">
            <v>29955.957698137889</v>
          </cell>
          <cell r="D21">
            <v>29955.957698137889</v>
          </cell>
          <cell r="E21">
            <v>29026.713553469977</v>
          </cell>
          <cell r="F21">
            <v>22340.503701763169</v>
          </cell>
        </row>
        <row r="22">
          <cell r="D22">
            <v>929.24414466791131</v>
          </cell>
          <cell r="E22">
            <v>1000.689851706812</v>
          </cell>
          <cell r="F22">
            <v>2409.9489908259125</v>
          </cell>
        </row>
        <row r="23">
          <cell r="D23">
            <v>570.69000000000005</v>
          </cell>
          <cell r="E23">
            <v>5114.83</v>
          </cell>
          <cell r="F23">
            <v>19930.55471093726</v>
          </cell>
        </row>
        <row r="26">
          <cell r="C26">
            <v>8005.1926142293305</v>
          </cell>
        </row>
        <row r="27">
          <cell r="C27">
            <v>9624.3734906638165</v>
          </cell>
        </row>
        <row r="28">
          <cell r="C28">
            <v>3538.0808962969732</v>
          </cell>
        </row>
        <row r="29">
          <cell r="C29">
            <v>1735.3540296156807</v>
          </cell>
        </row>
        <row r="37">
          <cell r="C37">
            <v>3.1020345068976867E-2</v>
          </cell>
          <cell r="D37">
            <v>3.4474789915966399E-2</v>
          </cell>
          <cell r="E37">
            <v>8.3025210084033671E-2</v>
          </cell>
          <cell r="F37">
            <v>0.14487545452337189</v>
          </cell>
        </row>
        <row r="38">
          <cell r="C38">
            <v>929.24414466791131</v>
          </cell>
          <cell r="D38">
            <v>1000.689851706812</v>
          </cell>
          <cell r="E38">
            <v>2409.9489908259125</v>
          </cell>
          <cell r="F38">
            <v>4339.8829872006354</v>
          </cell>
        </row>
        <row r="39">
          <cell r="C39">
            <v>570.69000000000005</v>
          </cell>
          <cell r="D39">
            <v>5114.83</v>
          </cell>
          <cell r="E39">
            <v>19930.55471093726</v>
          </cell>
          <cell r="F39">
            <v>25616.074710937261</v>
          </cell>
        </row>
        <row r="40">
          <cell r="C40">
            <v>1499.9341446679114</v>
          </cell>
          <cell r="D40">
            <v>6115.519851706812</v>
          </cell>
          <cell r="E40">
            <v>22340.503701763173</v>
          </cell>
          <cell r="F40">
            <v>29955.957698137896</v>
          </cell>
        </row>
        <row r="41">
          <cell r="C41">
            <v>28456.023553469979</v>
          </cell>
          <cell r="D41">
            <v>22340.503701763169</v>
          </cell>
        </row>
        <row r="42">
          <cell r="C42">
            <v>29026.713553469977</v>
          </cell>
          <cell r="D42">
            <v>27455.333701763171</v>
          </cell>
          <cell r="E42">
            <v>19930.55471093726</v>
          </cell>
        </row>
        <row r="47">
          <cell r="C47">
            <v>2.6723207099224027</v>
          </cell>
          <cell r="D47">
            <v>2.7578708142356527</v>
          </cell>
          <cell r="E47">
            <v>2.8583894736008011</v>
          </cell>
          <cell r="F47">
            <v>3.2040182294081552</v>
          </cell>
        </row>
        <row r="48">
          <cell r="D48">
            <v>3.3156952036388141</v>
          </cell>
          <cell r="E48">
            <v>3.4365454026448172</v>
          </cell>
          <cell r="F48">
            <v>3.852083216074889</v>
          </cell>
        </row>
        <row r="49">
          <cell r="E49">
            <v>1.2886679632925966</v>
          </cell>
          <cell r="F49">
            <v>1.4444902222657705</v>
          </cell>
        </row>
        <row r="50">
          <cell r="F50">
            <v>0.87070031656638902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0"/>
      <sheetName val="Sheet19"/>
      <sheetName val="Sheet1"/>
      <sheetName val="Sheet10"/>
      <sheetName val="Sheet14"/>
      <sheetName val="values"/>
      <sheetName val="Sheet9"/>
      <sheetName val="Sheet4"/>
      <sheetName val="Sheet5"/>
      <sheetName val="Sheet6"/>
      <sheetName val="70 series"/>
      <sheetName val="41 series"/>
      <sheetName val="D1"/>
      <sheetName val="62.918"/>
      <sheetName val="Schedule 13"/>
      <sheetName val="Schedule 16"/>
      <sheetName val="Sheet15"/>
      <sheetName val="Sheet23"/>
      <sheetName val="Actuals apprd"/>
      <sheetName val="Sheet21"/>
      <sheetName val="Sheet18"/>
      <sheetName val="Sheet17"/>
      <sheetName val="Sheet3"/>
      <sheetName val="KERC Format"/>
      <sheetName val="monthwise"/>
      <sheetName val="Source wise"/>
      <sheetName val="Sheet2"/>
      <sheetName val="Sheet7"/>
      <sheetName val="Sheet8"/>
      <sheetName val="without prov"/>
      <sheetName val="Sheet11"/>
      <sheetName val="Sheet12"/>
      <sheetName val="Sheet13"/>
      <sheetName val="Sheet16"/>
      <sheetName val="Sheet22"/>
      <sheetName val="upto dec 17"/>
      <sheetName val="Sheet24"/>
      <sheetName val="TB"/>
      <sheetName val="values 18"/>
      <sheetName val="Sheet26"/>
      <sheetName val="Sheet25"/>
      <sheetName val="Sheet27"/>
      <sheetName val="Sheet28"/>
      <sheetName val="Sheet29"/>
      <sheetName val="Monthwise energy"/>
      <sheetName val="Sheet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6">
          <cell r="H26">
            <v>252.67029452434002</v>
          </cell>
        </row>
        <row r="27">
          <cell r="H27">
            <v>23.1750635</v>
          </cell>
        </row>
        <row r="28">
          <cell r="H28">
            <v>19.493974316838433</v>
          </cell>
        </row>
        <row r="29">
          <cell r="H29">
            <v>34.549247117539998</v>
          </cell>
        </row>
        <row r="30">
          <cell r="H30">
            <v>0.54220770780000005</v>
          </cell>
        </row>
        <row r="32">
          <cell r="H32">
            <v>191.7</v>
          </cell>
        </row>
        <row r="40">
          <cell r="H40">
            <v>136.7654733</v>
          </cell>
        </row>
        <row r="41">
          <cell r="H41">
            <v>26.285378699999999</v>
          </cell>
        </row>
        <row r="43">
          <cell r="H43">
            <v>84.642960000000002</v>
          </cell>
        </row>
        <row r="46">
          <cell r="H46">
            <v>66.019287500000004</v>
          </cell>
        </row>
        <row r="47">
          <cell r="H47">
            <v>26.784376900000002</v>
          </cell>
        </row>
        <row r="49">
          <cell r="K49">
            <v>8.4696677000000005</v>
          </cell>
        </row>
        <row r="50">
          <cell r="H50">
            <v>195.64246270000001</v>
          </cell>
        </row>
        <row r="62">
          <cell r="H62">
            <v>227.77049479999999</v>
          </cell>
        </row>
        <row r="63">
          <cell r="H63">
            <v>39.783591199999996</v>
          </cell>
        </row>
        <row r="64">
          <cell r="H64">
            <v>9.6269034999999992</v>
          </cell>
          <cell r="N64">
            <v>17.958671299999999</v>
          </cell>
        </row>
        <row r="96">
          <cell r="F96">
            <v>0</v>
          </cell>
          <cell r="K96">
            <v>10.4941812</v>
          </cell>
        </row>
        <row r="97">
          <cell r="F97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es outstanding"/>
      <sheetName val="Sheet3"/>
      <sheetName val="Sheet2"/>
      <sheetName val="lpsc"/>
    </sheetNames>
    <sheetDataSet>
      <sheetData sheetId="0" refreshError="1"/>
      <sheetData sheetId="1" refreshError="1"/>
      <sheetData sheetId="2">
        <row r="8">
          <cell r="U8">
            <v>996.98704677148999</v>
          </cell>
          <cell r="V8">
            <v>54.12788546242696</v>
          </cell>
        </row>
        <row r="9">
          <cell r="U9">
            <v>4.6643046799999999</v>
          </cell>
          <cell r="V9">
            <v>1.6861461418199999</v>
          </cell>
        </row>
        <row r="10">
          <cell r="U10">
            <v>805.46910000000003</v>
          </cell>
          <cell r="V10">
            <v>57.207174140409506</v>
          </cell>
        </row>
        <row r="11">
          <cell r="U11">
            <v>128.32322048</v>
          </cell>
          <cell r="V11">
            <v>17.787574621543357</v>
          </cell>
        </row>
        <row r="12">
          <cell r="V12">
            <v>4.08</v>
          </cell>
        </row>
        <row r="13">
          <cell r="U13">
            <v>8.8340639999999997</v>
          </cell>
          <cell r="V13">
            <v>1.6918658770638271</v>
          </cell>
        </row>
        <row r="15">
          <cell r="U15">
            <v>61.076374999999999</v>
          </cell>
          <cell r="V15">
            <v>10.693521231705185</v>
          </cell>
        </row>
        <row r="16">
          <cell r="U16">
            <v>51.652976799999998</v>
          </cell>
          <cell r="V16">
            <v>7.9855573506989703</v>
          </cell>
        </row>
        <row r="17">
          <cell r="U17">
            <v>61.227159999999998</v>
          </cell>
          <cell r="V17">
            <v>10.241679289707761</v>
          </cell>
        </row>
        <row r="18">
          <cell r="U18">
            <v>84.534771800000001</v>
          </cell>
          <cell r="V18">
            <v>16.576434465145553</v>
          </cell>
        </row>
        <row r="20">
          <cell r="U20">
            <v>28.109587599999998</v>
          </cell>
          <cell r="V20">
            <v>3.8269493007785274</v>
          </cell>
        </row>
        <row r="21">
          <cell r="U21">
            <v>5.5185410399999997</v>
          </cell>
          <cell r="V21">
            <v>0</v>
          </cell>
        </row>
        <row r="22">
          <cell r="U22">
            <v>7.312754</v>
          </cell>
          <cell r="V22">
            <v>0.91453231087887366</v>
          </cell>
        </row>
        <row r="23">
          <cell r="U23">
            <v>40.991672000000001</v>
          </cell>
          <cell r="V23">
            <v>2.6267392788400277</v>
          </cell>
        </row>
        <row r="26">
          <cell r="U26">
            <v>791.28839355512696</v>
          </cell>
          <cell r="V26">
            <v>467.4273875587287</v>
          </cell>
        </row>
        <row r="27">
          <cell r="U27">
            <v>43.626187400000006</v>
          </cell>
          <cell r="V27">
            <v>40.616041920846364</v>
          </cell>
        </row>
        <row r="28">
          <cell r="U28">
            <v>119.808415</v>
          </cell>
          <cell r="V28">
            <v>139.75</v>
          </cell>
        </row>
        <row r="29">
          <cell r="U29">
            <v>136.28126500000002</v>
          </cell>
          <cell r="V29">
            <v>231.15163905818559</v>
          </cell>
        </row>
        <row r="30">
          <cell r="U30">
            <v>40.42</v>
          </cell>
          <cell r="V30">
            <v>285.13650000000001</v>
          </cell>
        </row>
        <row r="31">
          <cell r="U31">
            <v>411.04524300000003</v>
          </cell>
          <cell r="V31">
            <v>404.10537489208616</v>
          </cell>
        </row>
        <row r="39">
          <cell r="U39">
            <v>616.05122694000011</v>
          </cell>
          <cell r="V39">
            <v>201.37595659999999</v>
          </cell>
        </row>
        <row r="40">
          <cell r="U40">
            <v>107.93875222</v>
          </cell>
          <cell r="V40">
            <v>36.920036099999997</v>
          </cell>
        </row>
        <row r="41">
          <cell r="H41">
            <v>166.15551580000002</v>
          </cell>
          <cell r="U41">
            <v>665.32667482999989</v>
          </cell>
          <cell r="V41">
            <v>178.57</v>
          </cell>
        </row>
        <row r="42">
          <cell r="U42">
            <v>197.56287361</v>
          </cell>
          <cell r="V42">
            <v>107.88945772772894</v>
          </cell>
        </row>
        <row r="43">
          <cell r="H43">
            <v>71.786938800000001</v>
          </cell>
          <cell r="U43">
            <v>183.70052352000002</v>
          </cell>
          <cell r="V43">
            <v>81.05</v>
          </cell>
        </row>
        <row r="44">
          <cell r="H44">
            <v>34.377206399999999</v>
          </cell>
          <cell r="U44">
            <v>127.56922239000001</v>
          </cell>
          <cell r="V44">
            <v>36.69</v>
          </cell>
        </row>
        <row r="45">
          <cell r="U45">
            <v>175.87127147000001</v>
          </cell>
          <cell r="V45">
            <v>85.302415900000014</v>
          </cell>
        </row>
        <row r="46">
          <cell r="U46">
            <v>105.42093303</v>
          </cell>
          <cell r="V46">
            <v>53.083517999999998</v>
          </cell>
        </row>
        <row r="48">
          <cell r="U48">
            <v>33.310871290000001</v>
          </cell>
          <cell r="V48">
            <v>8.4696677000000005</v>
          </cell>
        </row>
        <row r="49">
          <cell r="U49">
            <v>486.89768985000001</v>
          </cell>
          <cell r="V49">
            <v>177.42274724968217</v>
          </cell>
        </row>
        <row r="51">
          <cell r="H51">
            <v>92.796020100000007</v>
          </cell>
          <cell r="U51">
            <v>256.96098420000004</v>
          </cell>
          <cell r="V51">
            <v>151.27000000000001</v>
          </cell>
        </row>
        <row r="53">
          <cell r="H53">
            <v>16.940616599999998</v>
          </cell>
          <cell r="U53">
            <v>34.225472840000002</v>
          </cell>
          <cell r="V53">
            <v>68.790000000000006</v>
          </cell>
        </row>
        <row r="57">
          <cell r="H57">
            <v>240.26517949999999</v>
          </cell>
          <cell r="U57">
            <v>536.42879890999995</v>
          </cell>
          <cell r="V57">
            <v>218.68</v>
          </cell>
        </row>
        <row r="61">
          <cell r="U61">
            <v>706.23918790000005</v>
          </cell>
          <cell r="V61">
            <v>323.40504975074037</v>
          </cell>
        </row>
        <row r="62">
          <cell r="U62">
            <v>155.72641378</v>
          </cell>
          <cell r="V62">
            <v>188.42896067379999</v>
          </cell>
        </row>
        <row r="63">
          <cell r="U63">
            <v>53.921471170000004</v>
          </cell>
          <cell r="V63">
            <v>17.958671299999999</v>
          </cell>
        </row>
        <row r="66">
          <cell r="H66">
            <v>140.13</v>
          </cell>
          <cell r="U66">
            <v>610</v>
          </cell>
          <cell r="V66">
            <v>400.77000000000004</v>
          </cell>
        </row>
        <row r="74">
          <cell r="U74">
            <v>37.202939999999998</v>
          </cell>
          <cell r="V74">
            <v>21.577377100000003</v>
          </cell>
        </row>
        <row r="75">
          <cell r="U75">
            <v>182.69341244999998</v>
          </cell>
          <cell r="V75">
            <v>54.783381693682855</v>
          </cell>
        </row>
        <row r="76">
          <cell r="U76">
            <v>1238.4749616500001</v>
          </cell>
          <cell r="V76">
            <v>464.85672722217612</v>
          </cell>
        </row>
        <row r="77">
          <cell r="U77">
            <v>4.3794300000000002</v>
          </cell>
          <cell r="V77">
            <v>1.7498549567062425</v>
          </cell>
        </row>
        <row r="92">
          <cell r="U92">
            <v>67.099999999999994</v>
          </cell>
          <cell r="V92">
            <v>10.4941812</v>
          </cell>
        </row>
        <row r="93">
          <cell r="U93">
            <v>17.13</v>
          </cell>
          <cell r="V93">
            <v>2.27</v>
          </cell>
        </row>
      </sheetData>
      <sheetData sheetId="3" refreshError="1"/>
      <sheetData sheetId="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nergy balanceing"/>
      <sheetName val="BESCOM"/>
      <sheetName val="GESCOM"/>
      <sheetName val="Existing NCE &amp; New"/>
      <sheetName val="HESCOM"/>
      <sheetName val="MESCOM"/>
      <sheetName val="CESC"/>
      <sheetName val="Sheet2"/>
      <sheetName val="  NSM Bundle,Pavagad"/>
      <sheetName val="ESCOM requirement"/>
      <sheetName val="UPCL"/>
      <sheetName val="Tariff calculation KPCL"/>
      <sheetName val=" POC charges"/>
      <sheetName val=" Jural &amp; Tbhe"/>
      <sheetName val=" Maps &amp; Kudamkulam"/>
      <sheetName val="DVC"/>
      <sheetName val="Consolidated"/>
      <sheetName val=" Loss calculation"/>
      <sheetName val="2021-22"/>
      <sheetName val="CGS"/>
      <sheetName val="KPCL Thermal"/>
      <sheetName val="KPCL-Hydro"/>
      <sheetName val="Tables to write up"/>
      <sheetName val="KPCL-actual generation"/>
      <sheetName val="Sheet1"/>
      <sheetName val="Sheet3"/>
      <sheetName val="Sheet4"/>
    </sheetNames>
    <sheetDataSet>
      <sheetData sheetId="0" refreshError="1"/>
      <sheetData sheetId="1"/>
      <sheetData sheetId="2">
        <row r="108">
          <cell r="O108">
            <v>3820.1214711956695</v>
          </cell>
        </row>
      </sheetData>
      <sheetData sheetId="3">
        <row r="8">
          <cell r="B8">
            <v>73.94</v>
          </cell>
          <cell r="D8">
            <v>576</v>
          </cell>
        </row>
        <row r="9">
          <cell r="B9">
            <v>513.04200000000003</v>
          </cell>
          <cell r="D9">
            <v>306</v>
          </cell>
        </row>
        <row r="10">
          <cell r="B10">
            <v>2353.6039999999998</v>
          </cell>
          <cell r="D10">
            <v>356</v>
          </cell>
        </row>
        <row r="11">
          <cell r="B11">
            <v>42.1</v>
          </cell>
          <cell r="C11">
            <v>5.03</v>
          </cell>
        </row>
        <row r="12">
          <cell r="B12">
            <v>4456.009</v>
          </cell>
          <cell r="D12">
            <v>303</v>
          </cell>
        </row>
        <row r="13">
          <cell r="B13">
            <v>90.67</v>
          </cell>
          <cell r="C13">
            <v>44.64</v>
          </cell>
        </row>
        <row r="14">
          <cell r="B14">
            <v>6.74</v>
          </cell>
          <cell r="D14">
            <v>483</v>
          </cell>
        </row>
        <row r="15">
          <cell r="B15">
            <v>3.97</v>
          </cell>
          <cell r="D15">
            <v>600</v>
          </cell>
        </row>
        <row r="17">
          <cell r="B17">
            <v>200.92849240074989</v>
          </cell>
          <cell r="D17">
            <v>495.6400000000001</v>
          </cell>
        </row>
        <row r="18">
          <cell r="B18">
            <v>56.205281430000007</v>
          </cell>
          <cell r="D18">
            <v>1052.6700000000003</v>
          </cell>
        </row>
        <row r="21">
          <cell r="B21">
            <v>640.55080050000015</v>
          </cell>
          <cell r="D21">
            <v>480.0834258524979</v>
          </cell>
        </row>
        <row r="22">
          <cell r="B22">
            <v>935.10497225075994</v>
          </cell>
          <cell r="D22">
            <v>301</v>
          </cell>
        </row>
      </sheetData>
      <sheetData sheetId="4">
        <row r="108">
          <cell r="O108">
            <v>6704.9553547262349</v>
          </cell>
        </row>
      </sheetData>
      <sheetData sheetId="5">
        <row r="108">
          <cell r="O108">
            <v>2849.2029134988788</v>
          </cell>
        </row>
      </sheetData>
      <sheetData sheetId="6">
        <row r="109">
          <cell r="O109">
            <v>48577.987412325579</v>
          </cell>
        </row>
      </sheetData>
      <sheetData sheetId="7" refreshError="1"/>
      <sheetData sheetId="8" refreshError="1"/>
      <sheetData sheetId="9">
        <row r="13">
          <cell r="H13">
            <v>29955.951521287796</v>
          </cell>
        </row>
      </sheetData>
      <sheetData sheetId="10" refreshError="1"/>
      <sheetData sheetId="11" refreshError="1"/>
      <sheetData sheetId="12">
        <row r="14">
          <cell r="E14">
            <v>1.6010546134439998</v>
          </cell>
        </row>
        <row r="101">
          <cell r="C101">
            <v>1478.9751950604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1">
          <cell r="D11">
            <v>4850.4604368245746</v>
          </cell>
        </row>
        <row r="14">
          <cell r="C14">
            <v>3737.95</v>
          </cell>
          <cell r="D14">
            <v>4850.4604368245746</v>
          </cell>
          <cell r="F14">
            <v>73.508206369801627</v>
          </cell>
          <cell r="G14">
            <v>20</v>
          </cell>
          <cell r="H14">
            <v>73.508206369801627</v>
          </cell>
          <cell r="I14">
            <v>2.8391679999999999</v>
          </cell>
          <cell r="K14">
            <v>2.7487545275903207</v>
          </cell>
        </row>
        <row r="16">
          <cell r="D16">
            <v>3203.4813879887342</v>
          </cell>
        </row>
        <row r="18">
          <cell r="C18">
            <v>2058.77</v>
          </cell>
          <cell r="D18">
            <v>3203.4813879887342</v>
          </cell>
          <cell r="F18">
            <v>160.88246865847086</v>
          </cell>
          <cell r="G18">
            <v>20</v>
          </cell>
          <cell r="H18">
            <v>180.88246865847086</v>
          </cell>
          <cell r="I18">
            <v>3.2229279999999996</v>
          </cell>
          <cell r="K18">
            <v>3.1202423430127189</v>
          </cell>
        </row>
        <row r="20">
          <cell r="D20">
            <v>1051.2785131727717</v>
          </cell>
        </row>
        <row r="22">
          <cell r="C22">
            <v>848.69</v>
          </cell>
          <cell r="D22">
            <v>1051.2785131727717</v>
          </cell>
          <cell r="F22">
            <v>195.93726802483826</v>
          </cell>
          <cell r="G22">
            <v>20</v>
          </cell>
          <cell r="H22">
            <v>215.93726802483826</v>
          </cell>
          <cell r="I22">
            <v>2.2540159999999996</v>
          </cell>
          <cell r="K22">
            <v>2.1823745153237195</v>
          </cell>
        </row>
        <row r="23">
          <cell r="C23">
            <v>848.69</v>
          </cell>
          <cell r="D23">
            <v>848.69</v>
          </cell>
          <cell r="F23">
            <v>36.680059856956014</v>
          </cell>
        </row>
        <row r="24">
          <cell r="C24">
            <v>50.49</v>
          </cell>
          <cell r="D24">
            <v>49.469517599999996</v>
          </cell>
          <cell r="F24">
            <v>540.89918795801145</v>
          </cell>
          <cell r="G24">
            <v>20</v>
          </cell>
          <cell r="H24">
            <v>560.89918795801145</v>
          </cell>
          <cell r="I24">
            <v>0.16203199999999998</v>
          </cell>
          <cell r="K24">
            <v>0.15689861491342835</v>
          </cell>
        </row>
        <row r="25">
          <cell r="C25">
            <v>84.97</v>
          </cell>
          <cell r="D25">
            <v>63.651161760000008</v>
          </cell>
          <cell r="F25">
            <v>152.75979757561493</v>
          </cell>
          <cell r="G25">
            <v>20</v>
          </cell>
          <cell r="H25">
            <v>172.75979757561493</v>
          </cell>
          <cell r="I25">
            <v>0</v>
          </cell>
          <cell r="K25">
            <v>0.29902368986588512</v>
          </cell>
        </row>
        <row r="26">
          <cell r="F26">
            <v>116</v>
          </cell>
          <cell r="H26">
            <v>116</v>
          </cell>
        </row>
        <row r="27">
          <cell r="C27">
            <v>419.9</v>
          </cell>
          <cell r="D27">
            <v>325.39803743766151</v>
          </cell>
          <cell r="F27">
            <v>178.20909740414385</v>
          </cell>
          <cell r="G27">
            <v>20</v>
          </cell>
          <cell r="H27">
            <v>198.20909740414385</v>
          </cell>
          <cell r="K27">
            <v>2.8074721568080814</v>
          </cell>
        </row>
        <row r="28">
          <cell r="C28">
            <v>372.48</v>
          </cell>
          <cell r="D28">
            <v>315.12740389698212</v>
          </cell>
          <cell r="F28">
            <v>135.7119845360825</v>
          </cell>
          <cell r="G28">
            <v>20</v>
          </cell>
          <cell r="H28">
            <v>155.7119845360825</v>
          </cell>
          <cell r="K28">
            <v>1.9199544925799485</v>
          </cell>
        </row>
        <row r="29">
          <cell r="C29">
            <v>442.62</v>
          </cell>
          <cell r="D29">
            <v>483.6438087395403</v>
          </cell>
          <cell r="F29">
            <v>203.01839049297365</v>
          </cell>
          <cell r="G29">
            <v>20</v>
          </cell>
          <cell r="H29">
            <v>223.01839049297365</v>
          </cell>
          <cell r="I29">
            <v>0.61535713109310453</v>
          </cell>
          <cell r="K29">
            <v>3.3684067549141901</v>
          </cell>
        </row>
        <row r="30">
          <cell r="C30">
            <v>384</v>
          </cell>
          <cell r="D30">
            <v>441.72845450400001</v>
          </cell>
          <cell r="F30">
            <v>218.09895833333334</v>
          </cell>
          <cell r="G30">
            <v>100</v>
          </cell>
          <cell r="H30">
            <v>318.09895833333337</v>
          </cell>
          <cell r="I30">
            <v>2.02049590764</v>
          </cell>
          <cell r="K30">
            <v>3.3792297789841026</v>
          </cell>
        </row>
        <row r="31">
          <cell r="C31">
            <v>252</v>
          </cell>
          <cell r="D31">
            <v>278.27731540320002</v>
          </cell>
          <cell r="F31">
            <v>149.80158730158729</v>
          </cell>
          <cell r="G31">
            <v>20</v>
          </cell>
          <cell r="H31">
            <v>169.80158730158729</v>
          </cell>
          <cell r="I31">
            <v>0.90068799999999993</v>
          </cell>
          <cell r="K31">
            <v>1.5443042092792774</v>
          </cell>
        </row>
        <row r="32">
          <cell r="C32">
            <v>65</v>
          </cell>
          <cell r="D32">
            <v>80.820824059199992</v>
          </cell>
          <cell r="F32">
            <v>142.92307692307691</v>
          </cell>
          <cell r="G32">
            <v>20</v>
          </cell>
          <cell r="H32">
            <v>162.92307692307691</v>
          </cell>
          <cell r="I32">
            <v>0.10692799999999998</v>
          </cell>
          <cell r="K32">
            <v>0.17473700712526849</v>
          </cell>
        </row>
        <row r="33">
          <cell r="C33">
            <v>119</v>
          </cell>
          <cell r="D33">
            <v>253.62854855999998</v>
          </cell>
          <cell r="F33">
            <v>162.68907563025209</v>
          </cell>
          <cell r="G33">
            <v>20</v>
          </cell>
          <cell r="H33">
            <v>182.68907563025209</v>
          </cell>
          <cell r="I33">
            <v>0.57235999999999987</v>
          </cell>
          <cell r="K33">
            <v>0.88432637197471697</v>
          </cell>
        </row>
        <row r="36">
          <cell r="D36">
            <v>3401.2742400000002</v>
          </cell>
          <cell r="E36">
            <v>941.9921187748829</v>
          </cell>
          <cell r="F36">
            <v>300</v>
          </cell>
          <cell r="K36">
            <v>24.768372237301282</v>
          </cell>
        </row>
        <row r="37">
          <cell r="D37">
            <v>632.72299999999996</v>
          </cell>
          <cell r="E37">
            <v>248.30449417741417</v>
          </cell>
          <cell r="F37">
            <v>280</v>
          </cell>
          <cell r="K37">
            <v>6.23</v>
          </cell>
        </row>
        <row r="39">
          <cell r="D39">
            <v>1210.6400000000001</v>
          </cell>
          <cell r="E39">
            <v>323.77778663720005</v>
          </cell>
          <cell r="F39">
            <v>295</v>
          </cell>
          <cell r="K39">
            <v>11.41205630089182</v>
          </cell>
        </row>
        <row r="40">
          <cell r="D40">
            <v>1307.1639999999998</v>
          </cell>
          <cell r="E40">
            <v>463.39136473711011</v>
          </cell>
          <cell r="F40">
            <v>294</v>
          </cell>
          <cell r="K40">
            <v>15.010941085113705</v>
          </cell>
        </row>
        <row r="41">
          <cell r="D41">
            <v>1830.0296000000001</v>
          </cell>
          <cell r="E41">
            <v>990.43476472607051</v>
          </cell>
          <cell r="F41">
            <v>299</v>
          </cell>
          <cell r="K41">
            <v>32.285537749903071</v>
          </cell>
        </row>
        <row r="42">
          <cell r="D42">
            <v>207.37464</v>
          </cell>
          <cell r="E42">
            <v>356.07771230501214</v>
          </cell>
          <cell r="F42">
            <v>320</v>
          </cell>
          <cell r="K42">
            <v>13.285056875974108</v>
          </cell>
        </row>
        <row r="44">
          <cell r="D44">
            <v>5129.7936000000009</v>
          </cell>
          <cell r="E44">
            <v>2269.1033152384643</v>
          </cell>
          <cell r="F44">
            <v>290</v>
          </cell>
          <cell r="K44">
            <v>77.895040248158196</v>
          </cell>
        </row>
        <row r="48">
          <cell r="C48">
            <v>2292.15245</v>
          </cell>
          <cell r="D48">
            <v>2208.2596703300001</v>
          </cell>
          <cell r="E48">
            <v>199.84863600000003</v>
          </cell>
          <cell r="F48">
            <v>241.26666666666671</v>
          </cell>
        </row>
        <row r="49">
          <cell r="C49">
            <v>590.70166999999992</v>
          </cell>
          <cell r="D49">
            <v>569.08198887799995</v>
          </cell>
          <cell r="E49">
            <v>53.655568500000001</v>
          </cell>
          <cell r="F49">
            <v>237.86666666666662</v>
          </cell>
        </row>
        <row r="50">
          <cell r="C50">
            <v>2268.7683200000001</v>
          </cell>
          <cell r="D50">
            <v>2185.7313994880001</v>
          </cell>
          <cell r="E50">
            <v>182.76087400000003</v>
          </cell>
          <cell r="F50">
            <v>208.76666666666668</v>
          </cell>
        </row>
        <row r="51">
          <cell r="C51">
            <v>786.41783999999996</v>
          </cell>
          <cell r="D51">
            <v>757.63494705599999</v>
          </cell>
          <cell r="E51">
            <v>69.919355999999993</v>
          </cell>
          <cell r="F51">
            <v>268.56666666666666</v>
          </cell>
        </row>
        <row r="52">
          <cell r="C52">
            <v>1088.12375</v>
          </cell>
          <cell r="D52">
            <v>1048.2984207499999</v>
          </cell>
          <cell r="E52">
            <v>97.470008300000003</v>
          </cell>
          <cell r="F52">
            <v>277.16666666666669</v>
          </cell>
        </row>
        <row r="53">
          <cell r="C53">
            <v>700.65562</v>
          </cell>
          <cell r="D53">
            <v>675.01162430800002</v>
          </cell>
          <cell r="E53">
            <v>71.616235799999998</v>
          </cell>
          <cell r="F53">
            <v>255.20000000000002</v>
          </cell>
        </row>
        <row r="54">
          <cell r="C54">
            <v>664.00589000000002</v>
          </cell>
          <cell r="D54">
            <v>639.70327442600001</v>
          </cell>
          <cell r="E54">
            <v>188.32614205200002</v>
          </cell>
          <cell r="F54">
            <v>262.4666666666667</v>
          </cell>
        </row>
        <row r="55">
          <cell r="C55">
            <v>313.06352255999997</v>
          </cell>
          <cell r="D55">
            <v>301.60539763430398</v>
          </cell>
          <cell r="E55">
            <v>73.941365750000003</v>
          </cell>
          <cell r="F55">
            <v>234.39999999999998</v>
          </cell>
        </row>
        <row r="56">
          <cell r="C56">
            <v>169.91559999999998</v>
          </cell>
          <cell r="D56">
            <v>163.69668904</v>
          </cell>
          <cell r="F56">
            <v>259.87999999999994</v>
          </cell>
        </row>
        <row r="57">
          <cell r="C57">
            <v>842.99599999999998</v>
          </cell>
          <cell r="D57">
            <v>812.14234639999995</v>
          </cell>
          <cell r="F57">
            <v>341.67333333333329</v>
          </cell>
        </row>
        <row r="58">
          <cell r="C58">
            <v>867.57989999999995</v>
          </cell>
          <cell r="D58">
            <v>835.82647565999991</v>
          </cell>
          <cell r="F58">
            <v>341.67333333333329</v>
          </cell>
        </row>
        <row r="59">
          <cell r="C59">
            <v>441.39402000000001</v>
          </cell>
          <cell r="D59">
            <v>425.23899886800001</v>
          </cell>
          <cell r="E59">
            <v>199.67763209000003</v>
          </cell>
          <cell r="F59">
            <v>296.43333333333339</v>
          </cell>
        </row>
        <row r="60">
          <cell r="C60">
            <v>229.49699999999999</v>
          </cell>
          <cell r="D60">
            <v>221.09740979999998</v>
          </cell>
          <cell r="E60">
            <v>210.99197134999997</v>
          </cell>
          <cell r="F60">
            <v>314.79999999999995</v>
          </cell>
        </row>
        <row r="61">
          <cell r="C61">
            <v>409.42399999999998</v>
          </cell>
          <cell r="D61">
            <v>394.43908159999995</v>
          </cell>
          <cell r="E61">
            <v>234.16752792</v>
          </cell>
          <cell r="F61">
            <v>288.43333333333334</v>
          </cell>
        </row>
        <row r="62">
          <cell r="C62">
            <v>1136.9299999999998</v>
          </cell>
          <cell r="D62">
            <v>1095.3183619999998</v>
          </cell>
          <cell r="F62">
            <v>408.95260430053685</v>
          </cell>
        </row>
        <row r="63">
          <cell r="C63">
            <v>1132.4741999999999</v>
          </cell>
          <cell r="D63">
            <v>1091.0256442799998</v>
          </cell>
          <cell r="F63">
            <v>408.95260178714199</v>
          </cell>
        </row>
        <row r="64">
          <cell r="C64">
            <v>2185.9541249999997</v>
          </cell>
          <cell r="D64">
            <v>2105.9482040249995</v>
          </cell>
          <cell r="E64">
            <v>1494.8663995999998</v>
          </cell>
          <cell r="F64">
            <v>346.4</v>
          </cell>
        </row>
        <row r="65">
          <cell r="C65">
            <v>409.42399999999998</v>
          </cell>
          <cell r="D65">
            <v>394.43908159999995</v>
          </cell>
          <cell r="E65">
            <v>203.84122000000002</v>
          </cell>
          <cell r="F65">
            <v>273.36666666666667</v>
          </cell>
        </row>
        <row r="66">
          <cell r="C66">
            <v>1486.1224999999999</v>
          </cell>
          <cell r="D66">
            <v>1431.7304165</v>
          </cell>
          <cell r="E66">
            <v>293.93417499999998</v>
          </cell>
          <cell r="F66">
            <v>247.63333333333333</v>
          </cell>
        </row>
        <row r="71">
          <cell r="D71">
            <v>4346.1645120000003</v>
          </cell>
          <cell r="E71">
            <v>1091.4750000000001</v>
          </cell>
          <cell r="F71">
            <v>274</v>
          </cell>
        </row>
        <row r="101">
          <cell r="D101">
            <v>32.467859999999995</v>
          </cell>
          <cell r="E101">
            <v>4.5212000000000003</v>
          </cell>
        </row>
        <row r="102">
          <cell r="D102">
            <v>156.70400000000001</v>
          </cell>
          <cell r="E102">
            <v>58.655000000000008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10th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O&amp;M Expenses"/>
      <sheetName val="Sheet4"/>
    </sheetNames>
    <sheetDataSet>
      <sheetData sheetId="0" refreshError="1">
        <row r="108">
          <cell r="W108">
            <v>220.6695675</v>
          </cell>
        </row>
      </sheetData>
      <sheetData sheetId="1" refreshError="1">
        <row r="245">
          <cell r="D245">
            <v>231</v>
          </cell>
        </row>
        <row r="251">
          <cell r="C251">
            <v>1.98</v>
          </cell>
        </row>
        <row r="254">
          <cell r="C254">
            <v>22.520000000000003</v>
          </cell>
        </row>
        <row r="287">
          <cell r="E287">
            <v>94.03</v>
          </cell>
        </row>
      </sheetData>
      <sheetData sheetId="2" refreshError="1">
        <row r="229">
          <cell r="D229">
            <v>464.58</v>
          </cell>
        </row>
        <row r="230">
          <cell r="D230">
            <v>191.84</v>
          </cell>
        </row>
        <row r="231">
          <cell r="D231">
            <v>-290.56</v>
          </cell>
        </row>
        <row r="232">
          <cell r="D232">
            <v>-54.81</v>
          </cell>
        </row>
      </sheetData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Sheets -&gt;"/>
      <sheetName val="RR-GAP"/>
      <sheetName val="A-1"/>
      <sheetName val="A-2"/>
      <sheetName val="A-3"/>
      <sheetName val="A-4"/>
      <sheetName val="D1-FY16"/>
      <sheetName val="D1FY17"/>
      <sheetName val="D1FY18"/>
      <sheetName val="D2-new"/>
      <sheetName val="D-3"/>
      <sheetName val="D-4"/>
      <sheetName val="D-5"/>
      <sheetName val="D-6"/>
      <sheetName val="D-6A"/>
      <sheetName val="D-7"/>
      <sheetName val="D-8"/>
      <sheetName val="D-9"/>
      <sheetName val="D-9A"/>
      <sheetName val="D-10"/>
      <sheetName val="D-11"/>
      <sheetName val="D-12"/>
      <sheetName val="D-13"/>
      <sheetName val="D-14"/>
      <sheetName val="D-15"/>
      <sheetName val="D-16"/>
      <sheetName val="D-17"/>
      <sheetName val="D-18"/>
      <sheetName val="D-18A"/>
      <sheetName val="D-19"/>
      <sheetName val="D-19-A"/>
      <sheetName val="D-22"/>
      <sheetName val="D-23"/>
      <sheetName val="D24"/>
    </sheetNames>
    <sheetDataSet>
      <sheetData sheetId="0" refreshError="1"/>
      <sheetData sheetId="1" refreshError="1"/>
      <sheetData sheetId="2" refreshError="1">
        <row r="27">
          <cell r="G27">
            <v>126.18769999999998</v>
          </cell>
          <cell r="H27">
            <v>199.78319999999997</v>
          </cell>
        </row>
        <row r="39">
          <cell r="G39">
            <v>96.20415000000321</v>
          </cell>
          <cell r="H39">
            <v>-471.66930048911672</v>
          </cell>
        </row>
        <row r="40">
          <cell r="G40">
            <v>4.95</v>
          </cell>
          <cell r="H40">
            <v>25.75</v>
          </cell>
        </row>
        <row r="49">
          <cell r="C49" t="e">
            <v>#REF!</v>
          </cell>
        </row>
      </sheetData>
      <sheetData sheetId="3" refreshError="1">
        <row r="17">
          <cell r="F17">
            <v>1919.36</v>
          </cell>
          <cell r="G17">
            <v>792.88</v>
          </cell>
        </row>
        <row r="20">
          <cell r="F20">
            <v>707.77</v>
          </cell>
          <cell r="G20">
            <v>1418.23</v>
          </cell>
          <cell r="H20">
            <v>1711.9</v>
          </cell>
          <cell r="I20">
            <v>2059.7399999999998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5">
          <cell r="F35">
            <v>10.01</v>
          </cell>
          <cell r="G35">
            <v>10.01</v>
          </cell>
          <cell r="H35">
            <v>10.01</v>
          </cell>
        </row>
        <row r="41">
          <cell r="F41">
            <v>90.27</v>
          </cell>
          <cell r="G41">
            <v>155.82</v>
          </cell>
          <cell r="H41">
            <v>251.65</v>
          </cell>
          <cell r="I41">
            <v>185.69</v>
          </cell>
        </row>
        <row r="42">
          <cell r="F42">
            <v>4727.99</v>
          </cell>
          <cell r="G42">
            <v>5892.88</v>
          </cell>
          <cell r="H42">
            <v>4371.3</v>
          </cell>
        </row>
        <row r="43">
          <cell r="G43">
            <v>143.49</v>
          </cell>
        </row>
        <row r="44">
          <cell r="F44">
            <v>539.24</v>
          </cell>
          <cell r="G44">
            <v>677.79</v>
          </cell>
          <cell r="H44">
            <v>664.1</v>
          </cell>
        </row>
        <row r="45">
          <cell r="F45">
            <v>574.66999999999996</v>
          </cell>
          <cell r="G45">
            <v>582.80999999999995</v>
          </cell>
          <cell r="H45">
            <v>2742.28</v>
          </cell>
        </row>
        <row r="48">
          <cell r="F48">
            <v>2347.98</v>
          </cell>
          <cell r="G48">
            <v>2569.77</v>
          </cell>
          <cell r="H48">
            <v>3016.35</v>
          </cell>
          <cell r="I48">
            <v>3441.69</v>
          </cell>
        </row>
        <row r="50">
          <cell r="F50">
            <v>455.05</v>
          </cell>
          <cell r="G50">
            <v>586.82000000000005</v>
          </cell>
          <cell r="H50">
            <v>336.51</v>
          </cell>
        </row>
        <row r="51">
          <cell r="F51">
            <v>2910.07</v>
          </cell>
          <cell r="G51">
            <v>3499.42</v>
          </cell>
          <cell r="H51">
            <v>3942.32</v>
          </cell>
        </row>
        <row r="52">
          <cell r="F52">
            <v>78.12</v>
          </cell>
          <cell r="G52">
            <v>10.07</v>
          </cell>
          <cell r="H52">
            <v>86.98</v>
          </cell>
        </row>
      </sheetData>
      <sheetData sheetId="4" refreshError="1"/>
      <sheetData sheetId="5" refreshError="1">
        <row r="7">
          <cell r="J7">
            <v>546.91</v>
          </cell>
          <cell r="K7">
            <v>546.91</v>
          </cell>
        </row>
        <row r="9">
          <cell r="K9">
            <v>-475.76000000000005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8">
          <cell r="E28">
            <v>122.65</v>
          </cell>
          <cell r="H28">
            <v>110.5</v>
          </cell>
        </row>
        <row r="29">
          <cell r="C29">
            <v>1572.05</v>
          </cell>
          <cell r="F29">
            <v>1820.8877</v>
          </cell>
          <cell r="I29">
            <v>2016.8608999999999</v>
          </cell>
        </row>
      </sheetData>
      <sheetData sheetId="17" refreshError="1">
        <row r="10">
          <cell r="D10">
            <v>9.9920072216264089E-15</v>
          </cell>
          <cell r="J10">
            <v>284.52</v>
          </cell>
        </row>
        <row r="11">
          <cell r="D11">
            <v>61.400000000000006</v>
          </cell>
          <cell r="J11">
            <v>41.730000000000004</v>
          </cell>
        </row>
        <row r="12">
          <cell r="D12">
            <v>0</v>
          </cell>
          <cell r="J12">
            <v>0</v>
          </cell>
        </row>
        <row r="13">
          <cell r="D13">
            <v>0</v>
          </cell>
          <cell r="J13">
            <v>0</v>
          </cell>
        </row>
        <row r="14">
          <cell r="D14">
            <v>0</v>
          </cell>
          <cell r="J14">
            <v>0</v>
          </cell>
        </row>
        <row r="15">
          <cell r="D15">
            <v>0</v>
          </cell>
          <cell r="J15">
            <v>0</v>
          </cell>
        </row>
        <row r="16">
          <cell r="D16">
            <v>0</v>
          </cell>
          <cell r="J16">
            <v>0</v>
          </cell>
        </row>
        <row r="17">
          <cell r="D17">
            <v>171.4</v>
          </cell>
          <cell r="J17">
            <v>142.80000000000001</v>
          </cell>
        </row>
        <row r="18">
          <cell r="D18">
            <v>0</v>
          </cell>
          <cell r="J18">
            <v>0</v>
          </cell>
        </row>
        <row r="19">
          <cell r="D19">
            <v>369.99</v>
          </cell>
          <cell r="J19">
            <v>699.99</v>
          </cell>
        </row>
        <row r="20">
          <cell r="D20">
            <v>0</v>
          </cell>
          <cell r="J20">
            <v>362.48</v>
          </cell>
        </row>
        <row r="22">
          <cell r="D22">
            <v>0.87999999999999967</v>
          </cell>
          <cell r="J22">
            <v>0.76999999999999968</v>
          </cell>
        </row>
        <row r="23">
          <cell r="D23">
            <v>12.280000000000003</v>
          </cell>
          <cell r="J23">
            <v>10.620000000000003</v>
          </cell>
        </row>
        <row r="24">
          <cell r="D24">
            <v>37.529999999999987</v>
          </cell>
          <cell r="J24">
            <v>33.359999999999985</v>
          </cell>
        </row>
        <row r="25">
          <cell r="D25">
            <v>312.52</v>
          </cell>
          <cell r="J25">
            <v>611.16</v>
          </cell>
        </row>
        <row r="26">
          <cell r="J26">
            <v>181.28</v>
          </cell>
        </row>
        <row r="27">
          <cell r="D27">
            <v>1.08</v>
          </cell>
          <cell r="J27">
            <v>0.54</v>
          </cell>
        </row>
        <row r="28">
          <cell r="D28">
            <v>0.94</v>
          </cell>
          <cell r="J28">
            <v>0.94</v>
          </cell>
        </row>
        <row r="29">
          <cell r="D29">
            <v>0.59000000000000008</v>
          </cell>
          <cell r="J29">
            <v>0.44000000000000006</v>
          </cell>
        </row>
        <row r="30">
          <cell r="D30">
            <v>750</v>
          </cell>
          <cell r="J30">
            <v>0</v>
          </cell>
        </row>
        <row r="32">
          <cell r="D32">
            <v>750</v>
          </cell>
          <cell r="F32">
            <v>124.98</v>
          </cell>
          <cell r="L32">
            <v>339.59</v>
          </cell>
        </row>
        <row r="33">
          <cell r="D33">
            <v>856.25</v>
          </cell>
        </row>
        <row r="34">
          <cell r="J34">
            <v>2018.89</v>
          </cell>
          <cell r="P34">
            <v>2820.05</v>
          </cell>
        </row>
        <row r="35">
          <cell r="H35">
            <v>54.9</v>
          </cell>
          <cell r="N35">
            <v>181.28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9">
          <cell r="C29">
            <v>4895.2153338271082</v>
          </cell>
          <cell r="E29">
            <v>206.54999999999998</v>
          </cell>
          <cell r="F29">
            <v>5605.2489338271089</v>
          </cell>
          <cell r="H29">
            <v>175.91000000000003</v>
          </cell>
          <cell r="I29">
            <v>7074.3599338271106</v>
          </cell>
        </row>
      </sheetData>
      <sheetData sheetId="25" refreshError="1"/>
      <sheetData sheetId="26" refreshError="1">
        <row r="12">
          <cell r="B12">
            <v>1173.8999999999999</v>
          </cell>
          <cell r="C12">
            <v>1782.85</v>
          </cell>
        </row>
        <row r="18">
          <cell r="B18">
            <v>1236.0163999999997</v>
          </cell>
          <cell r="C18">
            <v>1373.8453999999999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Sheets -&gt;"/>
      <sheetName val="RR-GAP"/>
      <sheetName val="A-1"/>
      <sheetName val="A-2 (2)"/>
      <sheetName val="A-3 (2)"/>
      <sheetName val="A-4"/>
      <sheetName val="D1FY17"/>
      <sheetName val="D1FY18"/>
      <sheetName val="D1-FY-18"/>
      <sheetName val="D1FY19"/>
      <sheetName val="D2-old"/>
      <sheetName val="D2-new (2)"/>
      <sheetName val="D-3"/>
      <sheetName val="D-4"/>
      <sheetName val="D-5"/>
      <sheetName val="D-6"/>
      <sheetName val="D-6A"/>
      <sheetName val="D-7"/>
      <sheetName val="D-8"/>
      <sheetName val="D-9"/>
      <sheetName val="D-9A"/>
      <sheetName val="D-10"/>
      <sheetName val="D-11"/>
      <sheetName val="D-12"/>
      <sheetName val="D-13"/>
      <sheetName val="D-14"/>
      <sheetName val="D-15"/>
      <sheetName val="D-16"/>
      <sheetName val="D-17"/>
      <sheetName val="D-18"/>
      <sheetName val="D-18A"/>
      <sheetName val="D-19"/>
      <sheetName val="D-19-A"/>
      <sheetName val="D-20"/>
      <sheetName val="D-21A"/>
      <sheetName val="D-21B"/>
      <sheetName val="ABSTRACT"/>
      <sheetName val="D-22"/>
      <sheetName val="D-23"/>
      <sheetName val="D24"/>
      <sheetName val="Energy 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9">
          <cell r="L29">
            <v>3235.7086369379995</v>
          </cell>
        </row>
      </sheetData>
      <sheetData sheetId="19" refreshError="1">
        <row r="68">
          <cell r="AB68">
            <v>3764.7200000000003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6">
          <cell r="I16">
            <v>2840.86</v>
          </cell>
        </row>
      </sheetData>
      <sheetData sheetId="26" refreshError="1">
        <row r="28">
          <cell r="L28">
            <v>18.64</v>
          </cell>
        </row>
        <row r="29">
          <cell r="L29">
            <v>11908.44121682711</v>
          </cell>
        </row>
      </sheetData>
      <sheetData sheetId="27" refreshError="1"/>
      <sheetData sheetId="28" refreshError="1">
        <row r="18">
          <cell r="F18">
            <v>1336.89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SOCIE"/>
      <sheetName val="2.3"/>
      <sheetName val="2.4"/>
      <sheetName val="2.5 to 2.15"/>
      <sheetName val="2.16"/>
      <sheetName val="2.17 to 2.27"/>
      <sheetName val="2.28 to 2.37"/>
      <sheetName val="TB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50">
          <cell r="B50">
            <v>546.91510000000005</v>
          </cell>
        </row>
      </sheetData>
      <sheetData sheetId="7"/>
      <sheetData sheetId="8">
        <row r="79">
          <cell r="E79">
            <v>-2.80176E-2</v>
          </cell>
        </row>
        <row r="82">
          <cell r="E82">
            <v>2.8371596000000001</v>
          </cell>
        </row>
        <row r="83">
          <cell r="E83">
            <v>0.87139305</v>
          </cell>
        </row>
        <row r="91">
          <cell r="E91">
            <v>402.584564301</v>
          </cell>
        </row>
        <row r="92">
          <cell r="E92">
            <v>11.682071799999999</v>
          </cell>
        </row>
        <row r="93">
          <cell r="E93">
            <v>152.10911820000001</v>
          </cell>
        </row>
        <row r="94">
          <cell r="E94">
            <v>96.548668649999996</v>
          </cell>
        </row>
        <row r="95">
          <cell r="E95">
            <v>1.7532171999999999</v>
          </cell>
        </row>
        <row r="98">
          <cell r="E98">
            <v>10.2245477</v>
          </cell>
        </row>
        <row r="100">
          <cell r="E100">
            <v>143.15244587399999</v>
          </cell>
        </row>
        <row r="103">
          <cell r="E103">
            <v>10.8723294</v>
          </cell>
        </row>
        <row r="104">
          <cell r="E104">
            <v>1.8679E-3</v>
          </cell>
        </row>
        <row r="105">
          <cell r="E105">
            <v>10.568546920000001</v>
          </cell>
        </row>
        <row r="106">
          <cell r="E106">
            <v>19.924805030000002</v>
          </cell>
        </row>
        <row r="107">
          <cell r="E107">
            <v>12.466508599999999</v>
          </cell>
        </row>
        <row r="108">
          <cell r="E108">
            <v>8.0420334859999993</v>
          </cell>
        </row>
        <row r="112">
          <cell r="E112">
            <v>0.04</v>
          </cell>
        </row>
        <row r="114">
          <cell r="E114">
            <v>879.97072506100005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ydel FC"/>
      <sheetName val="RTPS &amp; BTPS FC"/>
      <sheetName val="Sheet2"/>
      <sheetName val="Sheet3"/>
      <sheetName val="Sheet4"/>
    </sheetNames>
    <sheetDataSet>
      <sheetData sheetId="0">
        <row r="373">
          <cell r="C373">
            <v>6296594.1568914605</v>
          </cell>
          <cell r="D373">
            <v>61408003.688752495</v>
          </cell>
          <cell r="E373">
            <v>0</v>
          </cell>
          <cell r="F373">
            <v>7123688.7321599992</v>
          </cell>
        </row>
        <row r="374">
          <cell r="C374">
            <v>35546103.713006265</v>
          </cell>
          <cell r="D374">
            <v>327043939.26175106</v>
          </cell>
          <cell r="E374">
            <v>0</v>
          </cell>
          <cell r="F374">
            <v>18667286.673199989</v>
          </cell>
        </row>
        <row r="375">
          <cell r="C375">
            <v>40916753.947805151</v>
          </cell>
          <cell r="D375">
            <v>409099066.70072013</v>
          </cell>
          <cell r="E375">
            <v>0</v>
          </cell>
          <cell r="F375">
            <v>14346061.913336404</v>
          </cell>
        </row>
        <row r="376">
          <cell r="C376">
            <v>26932569.022476476</v>
          </cell>
          <cell r="D376">
            <v>52406167.210094951</v>
          </cell>
          <cell r="E376">
            <v>0</v>
          </cell>
          <cell r="F376">
            <v>3499760.3895999999</v>
          </cell>
        </row>
        <row r="377">
          <cell r="C377">
            <v>16583674.029113311</v>
          </cell>
          <cell r="D377">
            <v>35776326.803120106</v>
          </cell>
          <cell r="E377">
            <v>0</v>
          </cell>
          <cell r="F377">
            <v>3094081.0828000046</v>
          </cell>
        </row>
        <row r="378">
          <cell r="C378">
            <v>46519482.5277922</v>
          </cell>
          <cell r="D378">
            <v>68276119.281080186</v>
          </cell>
          <cell r="E378">
            <v>0</v>
          </cell>
          <cell r="F378">
            <v>5163471.0040000062</v>
          </cell>
        </row>
        <row r="379">
          <cell r="C379">
            <v>3777069.324910346</v>
          </cell>
          <cell r="D379">
            <v>27040474.674230002</v>
          </cell>
          <cell r="E379">
            <v>0</v>
          </cell>
          <cell r="F379">
            <v>894893.87600000005</v>
          </cell>
        </row>
        <row r="380">
          <cell r="C380">
            <v>1055486.2560037058</v>
          </cell>
          <cell r="D380">
            <v>23801645.507884797</v>
          </cell>
          <cell r="E380">
            <v>0</v>
          </cell>
          <cell r="F380">
            <v>285924.49463200005</v>
          </cell>
        </row>
        <row r="381">
          <cell r="C381">
            <v>91068090</v>
          </cell>
          <cell r="D381">
            <v>158055114.36000001</v>
          </cell>
          <cell r="E381">
            <v>10417015.24167005</v>
          </cell>
          <cell r="F381">
            <v>20521691.294999994</v>
          </cell>
        </row>
        <row r="383">
          <cell r="C383">
            <v>64310377.873999991</v>
          </cell>
          <cell r="D383">
            <v>53474943.261745319</v>
          </cell>
        </row>
        <row r="384">
          <cell r="C384">
            <v>10952720</v>
          </cell>
          <cell r="D384">
            <v>58988989.419999987</v>
          </cell>
          <cell r="E384">
            <v>2517841.4879999994</v>
          </cell>
          <cell r="F384">
            <v>3288977.7292360002</v>
          </cell>
        </row>
        <row r="385">
          <cell r="F385">
            <v>3023613.3595600007</v>
          </cell>
        </row>
        <row r="387">
          <cell r="C387">
            <v>1522522.5000000005</v>
          </cell>
          <cell r="D387">
            <v>15001014.937586643</v>
          </cell>
          <cell r="E387">
            <v>0</v>
          </cell>
          <cell r="F387">
            <v>910036.66100959957</v>
          </cell>
        </row>
        <row r="392">
          <cell r="C392">
            <v>5114594942.6580219</v>
          </cell>
          <cell r="D392">
            <v>16357052688.292902</v>
          </cell>
          <cell r="E392">
            <v>-15545664.927360002</v>
          </cell>
        </row>
        <row r="393">
          <cell r="C393">
            <v>1095977950.6929915</v>
          </cell>
          <cell r="D393">
            <v>2305322496.9155002</v>
          </cell>
        </row>
        <row r="394">
          <cell r="C394">
            <v>632989348.99078012</v>
          </cell>
          <cell r="D394">
            <v>2075601335.4361596</v>
          </cell>
        </row>
        <row r="395">
          <cell r="C395">
            <v>1817945762.5435002</v>
          </cell>
          <cell r="D395">
            <v>2291060178.9012918</v>
          </cell>
        </row>
        <row r="396">
          <cell r="C396">
            <v>866400049.87915015</v>
          </cell>
          <cell r="D396">
            <v>1112204377.3122001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GS"/>
      <sheetName val="KPCL"/>
    </sheetNames>
    <sheetDataSet>
      <sheetData sheetId="0">
        <row r="3">
          <cell r="AY3">
            <v>882943285</v>
          </cell>
          <cell r="AZ3">
            <v>4514937792</v>
          </cell>
        </row>
        <row r="4">
          <cell r="AY4">
            <v>737979457</v>
          </cell>
          <cell r="AZ4">
            <v>1822216719</v>
          </cell>
        </row>
        <row r="5">
          <cell r="AY5">
            <v>236163333</v>
          </cell>
          <cell r="AZ5">
            <v>758809586</v>
          </cell>
        </row>
        <row r="6">
          <cell r="AY6">
            <v>1079890317</v>
          </cell>
          <cell r="AZ6">
            <v>1873467521</v>
          </cell>
        </row>
        <row r="7">
          <cell r="AY7">
            <v>417478893</v>
          </cell>
          <cell r="AZ7">
            <v>1070898627</v>
          </cell>
        </row>
        <row r="8">
          <cell r="AY8">
            <v>602499817</v>
          </cell>
          <cell r="AZ8">
            <v>572446568</v>
          </cell>
        </row>
        <row r="9">
          <cell r="AY9">
            <v>636464699</v>
          </cell>
          <cell r="AZ9">
            <v>1465745998</v>
          </cell>
        </row>
        <row r="10">
          <cell r="AY10">
            <v>394444674</v>
          </cell>
          <cell r="AZ10">
            <v>1774480558</v>
          </cell>
        </row>
        <row r="11">
          <cell r="AY11">
            <v>1079535009</v>
          </cell>
          <cell r="AZ11">
            <v>2023838402</v>
          </cell>
        </row>
        <row r="12">
          <cell r="AZ12">
            <v>275841924</v>
          </cell>
        </row>
        <row r="13">
          <cell r="AZ13">
            <v>3612597587</v>
          </cell>
        </row>
        <row r="14">
          <cell r="BA14">
            <v>211821959</v>
          </cell>
        </row>
        <row r="16">
          <cell r="AY16">
            <v>901366243</v>
          </cell>
          <cell r="AZ16">
            <v>1258678225</v>
          </cell>
        </row>
        <row r="17">
          <cell r="BA17">
            <v>3508780078</v>
          </cell>
        </row>
        <row r="18">
          <cell r="AY18">
            <v>2068806007</v>
          </cell>
          <cell r="AZ18">
            <v>2896022519</v>
          </cell>
        </row>
        <row r="19">
          <cell r="AY19">
            <v>1764565432</v>
          </cell>
          <cell r="AZ19">
            <v>2770094650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4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50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8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62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70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8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4" Type="http://schemas.openxmlformats.org/officeDocument/2006/relationships/printerSettings" Target="../printerSettings/printerSettings82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6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90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6.bin"/><Relationship Id="rId1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8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=D10-@sum(D12:D14)" TargetMode="External"/><Relationship Id="rId2" Type="http://schemas.openxmlformats.org/officeDocument/2006/relationships/hyperlink" Target="mailto:=D10-@sum(D12:D14)" TargetMode="External"/><Relationship Id="rId1" Type="http://schemas.openxmlformats.org/officeDocument/2006/relationships/hyperlink" Target="mailto:=D10-@sum(D12:D14)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mailto:=D10-@sum(D12:D14)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7:M15"/>
  <sheetViews>
    <sheetView showGridLines="0" zoomScaleNormal="100" workbookViewId="0">
      <selection activeCell="H24" sqref="H24"/>
    </sheetView>
  </sheetViews>
  <sheetFormatPr defaultRowHeight="12.75" x14ac:dyDescent="0.2"/>
  <cols>
    <col min="1" max="1" width="7.42578125" style="47" customWidth="1"/>
    <col min="2" max="12" width="9.140625" style="47"/>
    <col min="13" max="13" width="12" style="47" customWidth="1"/>
    <col min="14" max="16384" width="9.140625" style="47"/>
  </cols>
  <sheetData>
    <row r="7" spans="2:13" ht="69" customHeight="1" x14ac:dyDescent="0.2">
      <c r="B7" s="1778" t="s">
        <v>341</v>
      </c>
      <c r="C7" s="1778"/>
      <c r="D7" s="1778"/>
      <c r="E7" s="1778"/>
      <c r="F7" s="1778"/>
      <c r="G7" s="1778"/>
      <c r="H7" s="1778"/>
      <c r="I7" s="1778"/>
      <c r="J7" s="1778"/>
      <c r="K7" s="1778"/>
      <c r="L7" s="1778"/>
      <c r="M7" s="1778"/>
    </row>
    <row r="8" spans="2:13" x14ac:dyDescent="0.2">
      <c r="B8" s="46"/>
    </row>
    <row r="9" spans="2:13" x14ac:dyDescent="0.2">
      <c r="B9" s="46"/>
    </row>
    <row r="10" spans="2:13" x14ac:dyDescent="0.2">
      <c r="B10" s="46"/>
    </row>
    <row r="11" spans="2:13" x14ac:dyDescent="0.2">
      <c r="B11" s="46"/>
    </row>
    <row r="12" spans="2:13" ht="18" x14ac:dyDescent="0.2">
      <c r="B12" s="1779" t="s">
        <v>663</v>
      </c>
      <c r="C12" s="1779"/>
      <c r="D12" s="1779"/>
      <c r="E12" s="1779"/>
      <c r="F12" s="1779"/>
      <c r="G12" s="1779"/>
      <c r="H12" s="1779"/>
      <c r="I12" s="1779"/>
      <c r="J12" s="1779"/>
      <c r="K12" s="1779"/>
      <c r="L12" s="1779"/>
    </row>
    <row r="14" spans="2:13" ht="20.25" x14ac:dyDescent="0.2">
      <c r="G14" s="86"/>
    </row>
    <row r="15" spans="2:13" ht="20.25" x14ac:dyDescent="0.2">
      <c r="B15" s="1780"/>
      <c r="C15" s="1780"/>
      <c r="D15" s="1780"/>
      <c r="E15" s="1780"/>
      <c r="F15" s="1780"/>
      <c r="G15" s="1780"/>
      <c r="H15" s="1780"/>
      <c r="I15" s="1780"/>
      <c r="J15" s="1780"/>
      <c r="K15" s="1780"/>
      <c r="L15" s="1780"/>
    </row>
  </sheetData>
  <customSheetViews>
    <customSheetView guid="{80837D84-6D11-4A5F-87D7-272A542EF21A}" showGridLines="0" showRuler="0">
      <selection activeCell="A17" sqref="A17"/>
      <pageMargins left="0.75" right="0.75" top="1" bottom="1" header="0.5" footer="0.5"/>
      <pageSetup scale="83" orientation="portrait" horizontalDpi="300" verticalDpi="300" r:id="rId1"/>
      <headerFooter alignWithMargins="0"/>
    </customSheetView>
    <customSheetView guid="{5FF41722-DC20-49D9-9ED5-FEC8C9404ECB}" showGridLines="0" showRuler="0">
      <selection activeCell="A17" sqref="A17"/>
      <pageMargins left="0.75" right="0.75" top="1" bottom="1" header="0.5" footer="0.5"/>
      <pageSetup scale="83" orientation="portrait" horizontalDpi="300" verticalDpi="300" r:id="rId2"/>
      <headerFooter alignWithMargins="0"/>
    </customSheetView>
    <customSheetView guid="{23A957A0-E704-4A72-A26E-A4FA7FC4849F}" showGridLines="0" showRuler="0">
      <selection activeCell="A17" sqref="A17"/>
      <pageMargins left="0.75" right="0.75" top="1" bottom="1" header="0.5" footer="0.5"/>
      <pageSetup scale="83" orientation="portrait" horizontalDpi="300" verticalDpi="300" r:id="rId3"/>
      <headerFooter alignWithMargins="0"/>
    </customSheetView>
  </customSheetViews>
  <mergeCells count="3">
    <mergeCell ref="B7:M7"/>
    <mergeCell ref="B12:L12"/>
    <mergeCell ref="B15:L15"/>
  </mergeCells>
  <phoneticPr fontId="0" type="noConversion"/>
  <pageMargins left="0.75" right="0.75" top="1" bottom="1" header="0.5" footer="0.5"/>
  <pageSetup scale="83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10"/>
  <sheetViews>
    <sheetView topLeftCell="A58" workbookViewId="0">
      <selection activeCell="AV78" sqref="AV78"/>
    </sheetView>
  </sheetViews>
  <sheetFormatPr defaultRowHeight="12.75" x14ac:dyDescent="0.2"/>
  <cols>
    <col min="1" max="1" width="38" customWidth="1"/>
    <col min="9" max="43" width="0" hidden="1" customWidth="1"/>
  </cols>
  <sheetData>
    <row r="1" spans="1:43" ht="15.75" x14ac:dyDescent="0.25">
      <c r="A1" s="1814" t="s">
        <v>341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814"/>
      <c r="R1" s="1814"/>
      <c r="S1" s="1814"/>
      <c r="T1" s="1814"/>
      <c r="U1" s="1814"/>
      <c r="V1" s="1814"/>
      <c r="W1" s="1814"/>
      <c r="X1" s="1814"/>
      <c r="Y1" s="1814"/>
      <c r="Z1" s="1814"/>
      <c r="AA1" s="1814"/>
    </row>
    <row r="2" spans="1:43" ht="15.75" x14ac:dyDescent="0.2">
      <c r="A2" s="1815" t="s">
        <v>1060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6"/>
      <c r="Z2" s="1816"/>
      <c r="AA2" s="1816"/>
    </row>
    <row r="3" spans="1:43" ht="15.75" customHeight="1" x14ac:dyDescent="0.2">
      <c r="A3" s="961"/>
      <c r="B3" s="1817" t="s">
        <v>1042</v>
      </c>
      <c r="C3" s="1817"/>
      <c r="D3" s="1817"/>
      <c r="E3" s="1817"/>
      <c r="F3" s="1817"/>
      <c r="G3" s="1817"/>
      <c r="H3" s="1824"/>
      <c r="I3" s="1819" t="s">
        <v>955</v>
      </c>
      <c r="J3" s="1820"/>
      <c r="K3" s="1820"/>
      <c r="L3" s="1820"/>
      <c r="M3" s="1820"/>
      <c r="N3" s="1820"/>
      <c r="O3" s="962"/>
      <c r="P3" s="1819" t="s">
        <v>956</v>
      </c>
      <c r="Q3" s="1820"/>
      <c r="R3" s="1820"/>
      <c r="S3" s="1820"/>
      <c r="T3" s="1820"/>
      <c r="U3" s="1820"/>
      <c r="V3" s="1819" t="s">
        <v>957</v>
      </c>
      <c r="W3" s="1820"/>
      <c r="X3" s="1820"/>
      <c r="Y3" s="1820"/>
      <c r="Z3" s="1820"/>
      <c r="AA3" s="1820"/>
    </row>
    <row r="4" spans="1:43" ht="99.75" x14ac:dyDescent="0.2">
      <c r="A4" s="963" t="s">
        <v>958</v>
      </c>
      <c r="B4" s="963" t="s">
        <v>959</v>
      </c>
      <c r="C4" s="964" t="s">
        <v>1061</v>
      </c>
      <c r="D4" s="964" t="s">
        <v>961</v>
      </c>
      <c r="E4" s="965" t="s">
        <v>962</v>
      </c>
      <c r="F4" s="965" t="s">
        <v>963</v>
      </c>
      <c r="G4" s="966" t="s">
        <v>964</v>
      </c>
      <c r="H4" s="968" t="s">
        <v>965</v>
      </c>
      <c r="I4" s="967" t="s">
        <v>966</v>
      </c>
      <c r="J4" s="967" t="s">
        <v>961</v>
      </c>
      <c r="K4" s="968" t="s">
        <v>962</v>
      </c>
      <c r="L4" s="968" t="s">
        <v>963</v>
      </c>
      <c r="M4" s="968" t="s">
        <v>964</v>
      </c>
      <c r="N4" s="968" t="s">
        <v>965</v>
      </c>
      <c r="O4" s="969"/>
      <c r="P4" s="967" t="s">
        <v>967</v>
      </c>
      <c r="Q4" s="967" t="s">
        <v>968</v>
      </c>
      <c r="R4" s="968" t="s">
        <v>962</v>
      </c>
      <c r="S4" s="967" t="s">
        <v>969</v>
      </c>
      <c r="T4" s="967" t="s">
        <v>970</v>
      </c>
      <c r="U4" s="968" t="s">
        <v>965</v>
      </c>
      <c r="V4" s="967" t="s">
        <v>967</v>
      </c>
      <c r="W4" s="967" t="s">
        <v>961</v>
      </c>
      <c r="X4" s="968" t="s">
        <v>962</v>
      </c>
      <c r="Y4" s="968" t="s">
        <v>963</v>
      </c>
      <c r="Z4" s="968" t="s">
        <v>964</v>
      </c>
      <c r="AA4" s="967" t="s">
        <v>971</v>
      </c>
      <c r="AN4" t="s">
        <v>1058</v>
      </c>
      <c r="AP4" t="s">
        <v>1059</v>
      </c>
    </row>
    <row r="5" spans="1:43" ht="15.75" x14ac:dyDescent="0.25">
      <c r="A5" s="970" t="s">
        <v>972</v>
      </c>
      <c r="B5" s="971"/>
      <c r="C5" s="971"/>
      <c r="D5" s="971"/>
      <c r="E5" s="971"/>
      <c r="F5" s="971"/>
      <c r="G5" s="972"/>
      <c r="H5" s="997"/>
      <c r="I5" s="361"/>
      <c r="J5" s="361"/>
      <c r="K5" s="361"/>
      <c r="L5" s="361"/>
      <c r="M5" s="361"/>
      <c r="N5" s="361"/>
      <c r="O5" s="97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</row>
    <row r="6" spans="1:43" ht="31.5" x14ac:dyDescent="0.2">
      <c r="A6" s="974" t="s">
        <v>973</v>
      </c>
      <c r="B6" s="975">
        <v>68.400000000000006</v>
      </c>
      <c r="C6" s="976">
        <f>ROUND(AE6,2)</f>
        <v>4894.3500000000004</v>
      </c>
      <c r="D6" s="976">
        <f>65.29*68.4%*12</f>
        <v>535.90032000000008</v>
      </c>
      <c r="E6" s="976">
        <f t="shared" ref="E6:E11" si="0">ROUND(AH6,2)</f>
        <v>3.87</v>
      </c>
      <c r="F6" s="976">
        <f>C6*E6/10</f>
        <v>1894.1134500000001</v>
      </c>
      <c r="G6" s="977">
        <f>D6+F6</f>
        <v>2430.01377</v>
      </c>
      <c r="H6" s="998">
        <f>G6/C6*10</f>
        <v>4.9649366514450328</v>
      </c>
      <c r="I6" s="446">
        <f>'[12]Actuals apprd'!$F$26</f>
        <v>2187.0794839999999</v>
      </c>
      <c r="J6" s="446">
        <f>'[12]Actuals apprd'!$G$26</f>
        <v>199.35710812761926</v>
      </c>
      <c r="K6" s="446">
        <f>L6/I6*10</f>
        <v>3.4834111053434489</v>
      </c>
      <c r="L6" s="446">
        <f>'[12]Actuals apprd'!$H$26</f>
        <v>761.84969628344197</v>
      </c>
      <c r="M6" s="446">
        <f t="shared" ref="M6:M11" si="1">J6+L6</f>
        <v>961.20680441106128</v>
      </c>
      <c r="N6" s="446">
        <f>M6/I6*10</f>
        <v>4.3949331125958349</v>
      </c>
      <c r="O6" s="978">
        <f>C6-(C6*0.97%)</f>
        <v>4846.8748050000004</v>
      </c>
      <c r="P6" s="446">
        <f>O6-I6</f>
        <v>2659.7953210000005</v>
      </c>
      <c r="Q6" s="446">
        <f>J6</f>
        <v>199.35710812761926</v>
      </c>
      <c r="R6" s="446"/>
      <c r="S6" s="446">
        <f>P6*K6/10</f>
        <v>926.5160559111946</v>
      </c>
      <c r="T6" s="446">
        <f>Q6+S6</f>
        <v>1125.8731640388139</v>
      </c>
      <c r="U6" s="446">
        <f>T6/P6*10</f>
        <v>4.2329315912004857</v>
      </c>
      <c r="V6" s="446">
        <f>I6+P6</f>
        <v>4846.8748050000004</v>
      </c>
      <c r="W6" s="447">
        <f>J6+Q6</f>
        <v>398.71421625523851</v>
      </c>
      <c r="X6" s="447">
        <f>Y6/V6*10</f>
        <v>3.4834111053434489</v>
      </c>
      <c r="Y6" s="447">
        <f t="shared" ref="Y6:Y13" si="2">L6+S6</f>
        <v>1688.3657521946366</v>
      </c>
      <c r="Z6" s="447">
        <f>Y6+W6</f>
        <v>2087.0799684498752</v>
      </c>
      <c r="AA6" s="447">
        <f>Z6/V6*10</f>
        <v>4.3060323454132936</v>
      </c>
      <c r="AC6" s="448">
        <f>(P6+I6)-O6</f>
        <v>0</v>
      </c>
      <c r="AE6">
        <f>(AF6*7%)+AF6</f>
        <v>4894.3512000000001</v>
      </c>
      <c r="AF6">
        <v>4574.16</v>
      </c>
      <c r="AG6" s="448">
        <f>'[13]FY 20'!E6</f>
        <v>3.76</v>
      </c>
      <c r="AH6">
        <f t="shared" ref="AH6:AH12" si="3">(AG6*3%)+AG6</f>
        <v>3.8727999999999998</v>
      </c>
      <c r="AI6" s="448">
        <f>AG6-AH6</f>
        <v>-0.11280000000000001</v>
      </c>
      <c r="AJ6" s="448">
        <f>H6-AH6</f>
        <v>1.092136651445033</v>
      </c>
      <c r="AN6">
        <f>D6/C6*10</f>
        <v>1.0949366514450336</v>
      </c>
      <c r="AO6" s="448">
        <f>AP6-AN6</f>
        <v>3.8074633485549665</v>
      </c>
      <c r="AP6">
        <v>4.9024000000000001</v>
      </c>
      <c r="AQ6" s="976">
        <v>4574.16</v>
      </c>
    </row>
    <row r="7" spans="1:43" ht="31.5" x14ac:dyDescent="0.2">
      <c r="A7" s="974" t="s">
        <v>974</v>
      </c>
      <c r="B7" s="975">
        <v>66</v>
      </c>
      <c r="C7" s="976">
        <f>ROUND(AE7,2)</f>
        <v>901</v>
      </c>
      <c r="D7" s="976">
        <f>232.66*66%</f>
        <v>153.5556</v>
      </c>
      <c r="E7" s="976">
        <f t="shared" si="0"/>
        <v>3.75</v>
      </c>
      <c r="F7" s="976">
        <f t="shared" ref="F7:F12" si="4">C7*E7/10</f>
        <v>337.875</v>
      </c>
      <c r="G7" s="977">
        <f t="shared" ref="G7:G12" si="5">D7+F7</f>
        <v>491.43060000000003</v>
      </c>
      <c r="H7" s="998">
        <f t="shared" ref="H7:H13" si="6">G7/C7*10</f>
        <v>5.4542796892341849</v>
      </c>
      <c r="I7" s="446">
        <f>'[12]Actuals apprd'!F27</f>
        <v>380.54055399999999</v>
      </c>
      <c r="J7" s="446">
        <f>'[12]Actuals apprd'!G27</f>
        <v>74.957227425882365</v>
      </c>
      <c r="K7" s="446">
        <f t="shared" ref="K7:K12" si="7">L7/I7*10</f>
        <v>3.3491756833885304</v>
      </c>
      <c r="L7" s="446">
        <f>'[12]Actuals apprd'!H27</f>
        <v>127.44971700000001</v>
      </c>
      <c r="M7" s="446">
        <f t="shared" si="1"/>
        <v>202.40694442588239</v>
      </c>
      <c r="N7" s="446">
        <f t="shared" ref="N7:N12" si="8">M7/I7*10</f>
        <v>5.31893230033723</v>
      </c>
      <c r="O7" s="978">
        <f t="shared" ref="O7:O12" si="9">C7-(C7*0.97%)</f>
        <v>892.26030000000003</v>
      </c>
      <c r="P7" s="446">
        <f t="shared" ref="P7:P12" si="10">O7-I7</f>
        <v>511.71974600000004</v>
      </c>
      <c r="Q7" s="446">
        <f>J7</f>
        <v>74.957227425882365</v>
      </c>
      <c r="R7" s="446"/>
      <c r="S7" s="446">
        <f t="shared" ref="S7:S12" si="11">P7*K7/10</f>
        <v>171.38393300129553</v>
      </c>
      <c r="T7" s="446">
        <f t="shared" ref="T7:T12" si="12">Q7+S7</f>
        <v>246.3411604271779</v>
      </c>
      <c r="U7" s="446">
        <f t="shared" ref="U7:U13" si="13">T7/P7*10</f>
        <v>4.8139858262803461</v>
      </c>
      <c r="V7" s="446">
        <f t="shared" ref="V7:W77" si="14">I7+P7</f>
        <v>892.26030000000003</v>
      </c>
      <c r="W7" s="447">
        <f t="shared" si="14"/>
        <v>149.91445485176473</v>
      </c>
      <c r="X7" s="447">
        <f>Y7/V7*10</f>
        <v>3.3491756833885304</v>
      </c>
      <c r="Y7" s="447">
        <f t="shared" si="2"/>
        <v>298.83365000129555</v>
      </c>
      <c r="Z7" s="447">
        <f t="shared" ref="Z7:Z75" si="15">Y7+W7</f>
        <v>448.74810485306028</v>
      </c>
      <c r="AA7" s="447">
        <f t="shared" ref="AA7:AA75" si="16">Z7/V7*10</f>
        <v>5.0293407075610137</v>
      </c>
      <c r="AC7" s="448">
        <f t="shared" ref="AC7:AC75" si="17">(P7+I7)-O7</f>
        <v>0</v>
      </c>
      <c r="AE7">
        <f t="shared" ref="AE7:AE12" si="18">(AF7*6%)+AF7</f>
        <v>901</v>
      </c>
      <c r="AF7">
        <v>850</v>
      </c>
      <c r="AG7" s="448">
        <f>'[13]FY 20'!E7</f>
        <v>3.64</v>
      </c>
      <c r="AH7">
        <f t="shared" si="3"/>
        <v>3.7492000000000001</v>
      </c>
      <c r="AI7" s="448">
        <f t="shared" ref="AI7:AI12" si="19">AG7-AH7</f>
        <v>-0.10919999999999996</v>
      </c>
      <c r="AN7">
        <f t="shared" ref="AN7:AN13" si="20">D7/C7*10</f>
        <v>1.704279689234184</v>
      </c>
      <c r="AO7" s="448">
        <f t="shared" ref="AO7:AO12" si="21">AP7-AN7</f>
        <v>3.6967203107658158</v>
      </c>
      <c r="AP7">
        <v>5.4009999999999998</v>
      </c>
      <c r="AQ7" s="976">
        <v>850</v>
      </c>
    </row>
    <row r="8" spans="1:43" ht="31.5" x14ac:dyDescent="0.2">
      <c r="A8" s="974" t="s">
        <v>975</v>
      </c>
      <c r="B8" s="975">
        <v>66</v>
      </c>
      <c r="C8" s="976">
        <f>AF8+96</f>
        <v>1155</v>
      </c>
      <c r="D8" s="976">
        <f>300.14*66%</f>
        <v>198.0924</v>
      </c>
      <c r="E8" s="976">
        <f t="shared" si="0"/>
        <v>3.5</v>
      </c>
      <c r="F8" s="976">
        <f t="shared" si="4"/>
        <v>404.25</v>
      </c>
      <c r="G8" s="977">
        <f t="shared" si="5"/>
        <v>602.3424</v>
      </c>
      <c r="H8" s="998">
        <f t="shared" si="6"/>
        <v>5.2150857142857143</v>
      </c>
      <c r="I8" s="446">
        <f>'[12]Actuals apprd'!F28</f>
        <v>435.21521999999999</v>
      </c>
      <c r="J8" s="446">
        <f>'[12]Actuals apprd'!G28</f>
        <v>95.780255998489679</v>
      </c>
      <c r="K8" s="446">
        <f t="shared" si="7"/>
        <v>3.8531106790735374</v>
      </c>
      <c r="L8" s="446">
        <f>'[12]Actuals apprd'!H28</f>
        <v>167.69324118773389</v>
      </c>
      <c r="M8" s="446">
        <f t="shared" si="1"/>
        <v>263.47349718622354</v>
      </c>
      <c r="N8" s="446">
        <f t="shared" si="8"/>
        <v>6.0538668014924557</v>
      </c>
      <c r="O8" s="978">
        <f>C8-(C8*0.97%)-200</f>
        <v>943.79649999999992</v>
      </c>
      <c r="P8" s="446">
        <f>O8-I8-0.86</f>
        <v>507.72127999999992</v>
      </c>
      <c r="Q8" s="446">
        <f>J8</f>
        <v>95.780255998489679</v>
      </c>
      <c r="R8" s="446"/>
      <c r="S8" s="446">
        <f t="shared" si="11"/>
        <v>195.63062859608854</v>
      </c>
      <c r="T8" s="446">
        <f t="shared" si="12"/>
        <v>291.41088459457819</v>
      </c>
      <c r="U8" s="446">
        <f t="shared" si="13"/>
        <v>5.7395838243096344</v>
      </c>
      <c r="V8" s="446">
        <f t="shared" si="14"/>
        <v>942.93649999999991</v>
      </c>
      <c r="W8" s="447">
        <f t="shared" si="14"/>
        <v>191.56051199697936</v>
      </c>
      <c r="X8" s="447">
        <f>Y8/V8*10</f>
        <v>3.8531106790735374</v>
      </c>
      <c r="Y8" s="447">
        <f t="shared" si="2"/>
        <v>363.32386978382243</v>
      </c>
      <c r="Z8" s="447">
        <f t="shared" si="15"/>
        <v>554.88438178080173</v>
      </c>
      <c r="AA8" s="447">
        <f t="shared" si="16"/>
        <v>5.8846420918142606</v>
      </c>
      <c r="AC8" s="448">
        <f t="shared" si="17"/>
        <v>-0.86000000000001364</v>
      </c>
      <c r="AE8">
        <f t="shared" si="18"/>
        <v>1122.54</v>
      </c>
      <c r="AF8">
        <v>1059</v>
      </c>
      <c r="AG8" s="448">
        <f>'[13]FY 20'!E8</f>
        <v>3.4</v>
      </c>
      <c r="AH8">
        <f t="shared" si="3"/>
        <v>3.5019999999999998</v>
      </c>
      <c r="AI8" s="448">
        <f t="shared" si="19"/>
        <v>-0.10199999999999987</v>
      </c>
      <c r="AN8">
        <f t="shared" si="20"/>
        <v>1.7150857142857143</v>
      </c>
      <c r="AO8" s="448">
        <f t="shared" si="21"/>
        <v>3.4849142857142859</v>
      </c>
      <c r="AP8">
        <v>5.2</v>
      </c>
      <c r="AQ8" s="976">
        <v>800</v>
      </c>
    </row>
    <row r="9" spans="1:43" ht="31.5" x14ac:dyDescent="0.2">
      <c r="A9" s="974" t="s">
        <v>976</v>
      </c>
      <c r="B9" s="975">
        <v>66</v>
      </c>
      <c r="C9" s="976">
        <f>AF9+96</f>
        <v>1177</v>
      </c>
      <c r="D9" s="1005">
        <f>482*66%</f>
        <v>318.12</v>
      </c>
      <c r="E9" s="1005">
        <f t="shared" si="0"/>
        <v>3.35</v>
      </c>
      <c r="F9" s="1005">
        <f t="shared" si="4"/>
        <v>394.29500000000002</v>
      </c>
      <c r="G9" s="1006">
        <f t="shared" si="5"/>
        <v>712.41499999999996</v>
      </c>
      <c r="H9" s="1007">
        <f t="shared" si="6"/>
        <v>6.0528037383177571</v>
      </c>
      <c r="I9" s="446">
        <f>'[12]Actuals apprd'!F29</f>
        <v>237.66468</v>
      </c>
      <c r="J9" s="446">
        <f>'[12]Actuals apprd'!G29</f>
        <v>151.585751526</v>
      </c>
      <c r="K9" s="446">
        <f t="shared" si="7"/>
        <v>3.3921436084065997</v>
      </c>
      <c r="L9" s="446">
        <f>'[12]Actuals apprd'!H29</f>
        <v>80.619272520599992</v>
      </c>
      <c r="M9" s="446">
        <f t="shared" si="1"/>
        <v>232.20502404659999</v>
      </c>
      <c r="N9" s="446">
        <f t="shared" si="8"/>
        <v>9.7702790354292439</v>
      </c>
      <c r="O9" s="978">
        <f>C9-(C9*0.97%)</f>
        <v>1165.5831000000001</v>
      </c>
      <c r="P9" s="446">
        <f>O9-I9-95.51</f>
        <v>832.40842000000009</v>
      </c>
      <c r="Q9" s="446">
        <f>J9</f>
        <v>151.585751526</v>
      </c>
      <c r="R9" s="446"/>
      <c r="S9" s="446">
        <f t="shared" si="11"/>
        <v>282.36489014868368</v>
      </c>
      <c r="T9" s="446">
        <f t="shared" si="12"/>
        <v>433.95064167468365</v>
      </c>
      <c r="U9" s="446">
        <f t="shared" si="13"/>
        <v>5.2131938030454279</v>
      </c>
      <c r="V9" s="446">
        <f t="shared" si="14"/>
        <v>1070.0731000000001</v>
      </c>
      <c r="W9" s="447">
        <f t="shared" si="14"/>
        <v>303.17150305199999</v>
      </c>
      <c r="X9" s="447">
        <f>Y9/V9*10</f>
        <v>3.3921436084066006</v>
      </c>
      <c r="Y9" s="447">
        <f t="shared" si="2"/>
        <v>362.98416266928371</v>
      </c>
      <c r="Z9" s="447">
        <f t="shared" si="15"/>
        <v>666.15566572128364</v>
      </c>
      <c r="AA9" s="447">
        <f t="shared" si="16"/>
        <v>6.2253285847600832</v>
      </c>
      <c r="AC9" s="448">
        <f t="shared" si="17"/>
        <v>-95.509999999999991</v>
      </c>
      <c r="AE9">
        <f t="shared" si="18"/>
        <v>1145.8599999999999</v>
      </c>
      <c r="AF9">
        <v>1081</v>
      </c>
      <c r="AG9" s="448">
        <f>'[13]FY 20'!E9</f>
        <v>3.25</v>
      </c>
      <c r="AH9">
        <f t="shared" si="3"/>
        <v>3.3475000000000001</v>
      </c>
      <c r="AI9" s="448">
        <f t="shared" si="19"/>
        <v>-9.7500000000000142E-2</v>
      </c>
      <c r="AN9">
        <f t="shared" si="20"/>
        <v>2.7028037383177574</v>
      </c>
      <c r="AO9" s="448">
        <f t="shared" si="21"/>
        <v>2.3971962616822422</v>
      </c>
      <c r="AP9">
        <v>5.0999999999999996</v>
      </c>
      <c r="AQ9" s="976">
        <v>881</v>
      </c>
    </row>
    <row r="10" spans="1:43" ht="31.5" x14ac:dyDescent="0.2">
      <c r="A10" s="974" t="s">
        <v>977</v>
      </c>
      <c r="B10" s="975">
        <v>66</v>
      </c>
      <c r="C10" s="976">
        <v>1375.79</v>
      </c>
      <c r="D10" s="1005">
        <v>665.04</v>
      </c>
      <c r="E10" s="1005">
        <f t="shared" si="0"/>
        <v>3.38</v>
      </c>
      <c r="F10" s="1005">
        <f t="shared" si="4"/>
        <v>465.01701999999995</v>
      </c>
      <c r="G10" s="1006">
        <f t="shared" si="5"/>
        <v>1130.05702</v>
      </c>
      <c r="H10" s="1007">
        <f t="shared" si="6"/>
        <v>8.2138772632451165</v>
      </c>
      <c r="I10" s="446">
        <f>'[12]Actuals apprd'!F30</f>
        <v>208.600854</v>
      </c>
      <c r="J10" s="446">
        <f>'[12]Actuals apprd'!G30</f>
        <v>280.29355588235296</v>
      </c>
      <c r="K10" s="446">
        <f t="shared" si="7"/>
        <v>3.4141497330111603</v>
      </c>
      <c r="L10" s="446">
        <f>'[12]Actuals apprd'!H30</f>
        <v>71.219454999000007</v>
      </c>
      <c r="M10" s="446">
        <f t="shared" si="1"/>
        <v>351.51301088135295</v>
      </c>
      <c r="N10" s="446">
        <f t="shared" si="8"/>
        <v>16.850986184426308</v>
      </c>
      <c r="O10" s="978">
        <f t="shared" si="9"/>
        <v>1362.444837</v>
      </c>
      <c r="P10" s="446">
        <f t="shared" si="10"/>
        <v>1153.843983</v>
      </c>
      <c r="Q10" s="446">
        <f>J10</f>
        <v>280.29355588235296</v>
      </c>
      <c r="R10" s="446"/>
      <c r="S10" s="446">
        <f t="shared" si="11"/>
        <v>393.93961264959842</v>
      </c>
      <c r="T10" s="446">
        <f t="shared" si="12"/>
        <v>674.23316853195138</v>
      </c>
      <c r="U10" s="446">
        <f t="shared" si="13"/>
        <v>5.8433651209840507</v>
      </c>
      <c r="V10" s="446">
        <f t="shared" si="14"/>
        <v>1362.444837</v>
      </c>
      <c r="W10" s="447">
        <f t="shared" si="14"/>
        <v>560.58711176470592</v>
      </c>
      <c r="X10" s="447">
        <f>Y10/V10*10</f>
        <v>3.4141497330111603</v>
      </c>
      <c r="Y10" s="447">
        <f t="shared" si="2"/>
        <v>465.15906764859841</v>
      </c>
      <c r="Z10" s="447">
        <f t="shared" si="15"/>
        <v>1025.7461794133044</v>
      </c>
      <c r="AA10" s="447">
        <f t="shared" si="16"/>
        <v>7.5287171381699345</v>
      </c>
      <c r="AC10" s="448">
        <f t="shared" si="17"/>
        <v>0</v>
      </c>
      <c r="AE10">
        <f t="shared" si="18"/>
        <v>1356.8</v>
      </c>
      <c r="AF10">
        <v>1280</v>
      </c>
      <c r="AG10" s="448">
        <f>'[13]FY 20'!E10</f>
        <v>3.28</v>
      </c>
      <c r="AH10">
        <f t="shared" si="3"/>
        <v>3.3783999999999996</v>
      </c>
      <c r="AI10" s="448">
        <f t="shared" si="19"/>
        <v>-9.8399999999999821E-2</v>
      </c>
      <c r="AN10">
        <f t="shared" si="20"/>
        <v>4.8338772632451175</v>
      </c>
      <c r="AO10" s="448">
        <f t="shared" si="21"/>
        <v>0.96612273675488236</v>
      </c>
      <c r="AP10">
        <v>5.8</v>
      </c>
      <c r="AQ10" s="976">
        <v>480</v>
      </c>
    </row>
    <row r="11" spans="1:43" ht="15.75" x14ac:dyDescent="0.25">
      <c r="A11" s="974" t="s">
        <v>978</v>
      </c>
      <c r="B11" s="975">
        <v>66</v>
      </c>
      <c r="C11" s="976">
        <f>ROUND(AE11,2)</f>
        <v>762.55</v>
      </c>
      <c r="D11" s="976">
        <f>2312.49*66%*70%</f>
        <v>1068.3703799999998</v>
      </c>
      <c r="E11" s="976">
        <f t="shared" si="0"/>
        <v>3.2</v>
      </c>
      <c r="F11" s="976">
        <f t="shared" si="4"/>
        <v>244.01599999999999</v>
      </c>
      <c r="G11" s="977">
        <f t="shared" si="5"/>
        <v>1312.3863799999999</v>
      </c>
      <c r="H11" s="1007">
        <v>5.633</v>
      </c>
      <c r="I11" s="446">
        <f>'[12]Actuals apprd'!F31</f>
        <v>0</v>
      </c>
      <c r="J11" s="446" t="e">
        <f>'[12]Actuals apprd'!G31</f>
        <v>#REF!</v>
      </c>
      <c r="K11" s="446" t="e">
        <f t="shared" si="7"/>
        <v>#REF!</v>
      </c>
      <c r="L11" s="446" t="e">
        <f>'[12]Actuals apprd'!H31</f>
        <v>#REF!</v>
      </c>
      <c r="M11" s="446" t="e">
        <f t="shared" si="1"/>
        <v>#REF!</v>
      </c>
      <c r="N11" s="446"/>
      <c r="O11" s="978">
        <f t="shared" si="9"/>
        <v>755.15326499999992</v>
      </c>
      <c r="P11" s="446"/>
      <c r="Q11" s="446"/>
      <c r="R11" s="446"/>
      <c r="S11" s="446"/>
      <c r="T11" s="446"/>
      <c r="U11" s="446"/>
      <c r="V11" s="446">
        <f t="shared" si="14"/>
        <v>0</v>
      </c>
      <c r="W11" s="447" t="e">
        <f t="shared" si="14"/>
        <v>#REF!</v>
      </c>
      <c r="X11" s="447"/>
      <c r="Y11" s="447" t="e">
        <f t="shared" si="2"/>
        <v>#REF!</v>
      </c>
      <c r="Z11" s="447" t="e">
        <f t="shared" si="15"/>
        <v>#REF!</v>
      </c>
      <c r="AA11" s="447"/>
      <c r="AC11" s="448">
        <f t="shared" si="17"/>
        <v>-755.15326499999992</v>
      </c>
      <c r="AD11" s="366" t="s">
        <v>1080</v>
      </c>
      <c r="AE11">
        <f>(AF11*15%)+AF11+66.8</f>
        <v>762.55</v>
      </c>
      <c r="AF11">
        <v>605</v>
      </c>
      <c r="AG11" s="448">
        <f>'[13]FY 20'!E11</f>
        <v>3.11</v>
      </c>
      <c r="AH11">
        <f t="shared" si="3"/>
        <v>3.2033</v>
      </c>
      <c r="AI11" s="448">
        <f t="shared" si="19"/>
        <v>-9.3300000000000161E-2</v>
      </c>
      <c r="AN11">
        <f t="shared" si="20"/>
        <v>14.010496098616482</v>
      </c>
      <c r="AO11" s="448">
        <f t="shared" si="21"/>
        <v>-7.9104960986164823</v>
      </c>
      <c r="AP11">
        <v>6.1</v>
      </c>
      <c r="AQ11" s="976">
        <v>605</v>
      </c>
    </row>
    <row r="12" spans="1:43" ht="15.75" x14ac:dyDescent="0.25">
      <c r="A12" s="974" t="s">
        <v>1043</v>
      </c>
      <c r="B12" s="975">
        <v>66</v>
      </c>
      <c r="C12" s="976">
        <v>378.47</v>
      </c>
      <c r="D12" s="976">
        <v>474.76</v>
      </c>
      <c r="E12" s="976">
        <v>4.75</v>
      </c>
      <c r="F12" s="976">
        <f t="shared" si="4"/>
        <v>179.77325000000002</v>
      </c>
      <c r="G12" s="977">
        <f t="shared" si="5"/>
        <v>654.53324999999995</v>
      </c>
      <c r="H12" s="1007">
        <v>6.55</v>
      </c>
      <c r="I12" s="446">
        <f>'[12]Actuals apprd'!F32</f>
        <v>331.44078000000002</v>
      </c>
      <c r="J12" s="446">
        <v>251.74</v>
      </c>
      <c r="K12" s="446">
        <f t="shared" si="7"/>
        <v>2.3883602977279978</v>
      </c>
      <c r="L12" s="446">
        <v>79.16</v>
      </c>
      <c r="M12" s="446">
        <f>'[12]Actuals apprd'!$K$32</f>
        <v>330.90113969647058</v>
      </c>
      <c r="N12" s="446">
        <f t="shared" si="8"/>
        <v>9.9837183492167298</v>
      </c>
      <c r="O12" s="978">
        <f t="shared" si="9"/>
        <v>374.79884100000004</v>
      </c>
      <c r="P12" s="446">
        <f t="shared" si="10"/>
        <v>43.358061000000021</v>
      </c>
      <c r="Q12" s="446">
        <v>230</v>
      </c>
      <c r="R12" s="446"/>
      <c r="S12" s="446">
        <f t="shared" si="11"/>
        <v>10.355467147886873</v>
      </c>
      <c r="T12" s="446">
        <f t="shared" si="12"/>
        <v>240.35546714788688</v>
      </c>
      <c r="U12" s="446">
        <f t="shared" si="13"/>
        <v>55.435012914412098</v>
      </c>
      <c r="V12" s="446">
        <f t="shared" si="14"/>
        <v>374.79884100000004</v>
      </c>
      <c r="W12" s="447">
        <f t="shared" si="14"/>
        <v>481.74</v>
      </c>
      <c r="X12" s="447">
        <f>Y12/V12*10</f>
        <v>2.3883602977279978</v>
      </c>
      <c r="Y12" s="447">
        <f t="shared" si="2"/>
        <v>89.515467147886866</v>
      </c>
      <c r="Z12" s="447">
        <f t="shared" si="15"/>
        <v>571.25546714788686</v>
      </c>
      <c r="AA12" s="447">
        <f t="shared" si="16"/>
        <v>15.241655113546278</v>
      </c>
      <c r="AC12" s="448">
        <f t="shared" si="17"/>
        <v>0</v>
      </c>
      <c r="AD12" s="366" t="s">
        <v>1080</v>
      </c>
      <c r="AE12">
        <f t="shared" si="18"/>
        <v>540.6</v>
      </c>
      <c r="AF12">
        <v>510</v>
      </c>
      <c r="AG12" s="448">
        <f>'[13]FY 20'!E12</f>
        <v>4.75</v>
      </c>
      <c r="AH12">
        <f t="shared" si="3"/>
        <v>4.8925000000000001</v>
      </c>
      <c r="AI12" s="448">
        <f t="shared" si="19"/>
        <v>-0.14250000000000007</v>
      </c>
      <c r="AN12">
        <f t="shared" si="20"/>
        <v>12.544191085158666</v>
      </c>
      <c r="AO12" s="448">
        <f t="shared" si="21"/>
        <v>-12.544191085158666</v>
      </c>
      <c r="AQ12" s="976">
        <v>510</v>
      </c>
    </row>
    <row r="13" spans="1:43" ht="15.75" x14ac:dyDescent="0.2">
      <c r="A13" s="979" t="s">
        <v>979</v>
      </c>
      <c r="B13" s="980"/>
      <c r="C13" s="981">
        <f>SUM(C6:C12)</f>
        <v>10644.159999999998</v>
      </c>
      <c r="D13" s="981">
        <f>SUM(D6:D12)</f>
        <v>3413.8387000000002</v>
      </c>
      <c r="E13" s="981">
        <f>F13/C13*10</f>
        <v>3.682150324685086</v>
      </c>
      <c r="F13" s="981">
        <f>SUM(F6:F12)</f>
        <v>3919.3397199999999</v>
      </c>
      <c r="G13" s="982">
        <f>SUM(G6:G12)</f>
        <v>7333.1784200000002</v>
      </c>
      <c r="H13" s="1018">
        <f t="shared" si="6"/>
        <v>6.8893913845714474</v>
      </c>
      <c r="I13" s="983">
        <f>SUM(I6:I12)</f>
        <v>3780.5415719999996</v>
      </c>
      <c r="J13" s="983" t="e">
        <f>SUM(J6:J12)</f>
        <v>#REF!</v>
      </c>
      <c r="K13" s="983">
        <v>3.17</v>
      </c>
      <c r="L13" s="983" t="e">
        <f>SUM(L6:L12)</f>
        <v>#REF!</v>
      </c>
      <c r="M13" s="983" t="e">
        <f>SUM(M6:M12)</f>
        <v>#REF!</v>
      </c>
      <c r="N13" s="983" t="e">
        <f>M13/I13*10</f>
        <v>#REF!</v>
      </c>
      <c r="O13" s="984">
        <f t="shared" ref="O13:T13" si="22">SUM(O6:O12)</f>
        <v>10340.911648000001</v>
      </c>
      <c r="P13" s="983">
        <f t="shared" si="22"/>
        <v>5708.8468110000003</v>
      </c>
      <c r="Q13" s="983">
        <f t="shared" si="22"/>
        <v>1031.9738989603443</v>
      </c>
      <c r="R13" s="983">
        <f t="shared" si="22"/>
        <v>0</v>
      </c>
      <c r="S13" s="983">
        <f t="shared" si="22"/>
        <v>1980.1905874547479</v>
      </c>
      <c r="T13" s="983">
        <f t="shared" si="22"/>
        <v>3012.1644864150921</v>
      </c>
      <c r="U13" s="446">
        <f t="shared" si="13"/>
        <v>5.2763098855817105</v>
      </c>
      <c r="V13" s="490">
        <f t="shared" si="14"/>
        <v>9489.3883829999995</v>
      </c>
      <c r="W13" s="985" t="e">
        <f t="shared" si="14"/>
        <v>#REF!</v>
      </c>
      <c r="X13" s="985"/>
      <c r="Y13" s="985" t="e">
        <f t="shared" si="2"/>
        <v>#REF!</v>
      </c>
      <c r="Z13" s="985" t="e">
        <f t="shared" si="15"/>
        <v>#REF!</v>
      </c>
      <c r="AA13" s="985" t="e">
        <f t="shared" si="16"/>
        <v>#REF!</v>
      </c>
      <c r="AC13" s="448">
        <f t="shared" si="17"/>
        <v>-851.52326500000163</v>
      </c>
      <c r="AE13" s="981">
        <f>SUM(AE6:AE12)</f>
        <v>10723.7012</v>
      </c>
      <c r="AN13">
        <f t="shared" si="20"/>
        <v>3.207241059886361</v>
      </c>
    </row>
    <row r="14" spans="1:43" ht="15.75" x14ac:dyDescent="0.2">
      <c r="A14" s="974" t="s">
        <v>980</v>
      </c>
      <c r="B14" s="986"/>
      <c r="C14" s="986"/>
      <c r="D14" s="986"/>
      <c r="E14" s="986"/>
      <c r="F14" s="986"/>
      <c r="G14" s="987"/>
      <c r="H14" s="999"/>
      <c r="I14" s="445"/>
      <c r="J14" s="445"/>
      <c r="K14" s="445"/>
      <c r="L14" s="445"/>
      <c r="M14" s="445"/>
      <c r="N14" s="445"/>
      <c r="O14" s="978"/>
      <c r="P14" s="446"/>
      <c r="Q14" s="446"/>
      <c r="R14" s="446"/>
      <c r="S14" s="446"/>
      <c r="T14" s="446"/>
      <c r="U14" s="446"/>
      <c r="V14" s="446"/>
      <c r="W14" s="447"/>
      <c r="X14" s="447"/>
      <c r="Y14" s="447"/>
      <c r="Z14" s="447"/>
      <c r="AA14" s="447"/>
    </row>
    <row r="15" spans="1:43" ht="31.5" x14ac:dyDescent="0.2">
      <c r="A15" s="974" t="s">
        <v>981</v>
      </c>
      <c r="B15" s="975">
        <v>48.7226</v>
      </c>
      <c r="C15" s="976">
        <v>1236.69</v>
      </c>
      <c r="D15" s="976">
        <f>C15*AN15/10</f>
        <v>92.751750000000001</v>
      </c>
      <c r="E15" s="976">
        <f>AH15</f>
        <v>3.3229859999999998</v>
      </c>
      <c r="F15" s="976">
        <f t="shared" ref="F15:F34" si="23">C15*E15/10</f>
        <v>410.95035563399995</v>
      </c>
      <c r="G15" s="977">
        <f t="shared" ref="G15:G34" si="24">D15+F15</f>
        <v>503.70210563399996</v>
      </c>
      <c r="H15" s="998">
        <f t="shared" ref="H15:H33" si="25">G15/C15*10</f>
        <v>4.0729859999999993</v>
      </c>
      <c r="I15" s="446">
        <f>'[12]Actuals apprd'!F40</f>
        <v>577.92513024152004</v>
      </c>
      <c r="J15" s="446">
        <f>'[12]Actuals apprd'!G40</f>
        <v>41.4268961</v>
      </c>
      <c r="K15" s="446">
        <f t="shared" ref="K15:K50" si="26">L15/I15*10</f>
        <v>2.35799843905472</v>
      </c>
      <c r="L15" s="446">
        <f>'[12]Actuals apprd'!H40</f>
        <v>136.27465549999999</v>
      </c>
      <c r="M15" s="446">
        <f t="shared" ref="M15:M31" si="27">J15+L15</f>
        <v>177.70155159999999</v>
      </c>
      <c r="N15" s="446">
        <f t="shared" ref="N15:N35" si="28">M15/I15*10</f>
        <v>3.0748195968868308</v>
      </c>
      <c r="O15" s="978">
        <f>C15-(C15*0.97%)</f>
        <v>1224.694107</v>
      </c>
      <c r="P15" s="446">
        <f t="shared" ref="P15:P30" si="29">O15-I15</f>
        <v>646.76897675847999</v>
      </c>
      <c r="Q15" s="446">
        <f>J15</f>
        <v>41.4268961</v>
      </c>
      <c r="R15" s="446"/>
      <c r="S15" s="446">
        <f>P15*K15/10</f>
        <v>152.50802376255143</v>
      </c>
      <c r="T15" s="446">
        <f>Q15+S15</f>
        <v>193.93491986255142</v>
      </c>
      <c r="U15" s="446">
        <f t="shared" ref="U15:U35" si="30">T15/P15*10</f>
        <v>2.9985192059539933</v>
      </c>
      <c r="V15" s="446">
        <f t="shared" si="14"/>
        <v>1224.694107</v>
      </c>
      <c r="W15" s="447">
        <f t="shared" si="14"/>
        <v>82.853792200000001</v>
      </c>
      <c r="X15" s="447">
        <f t="shared" ref="X15:X35" si="31">Y15/V15*10</f>
        <v>2.35799843905472</v>
      </c>
      <c r="Y15" s="447">
        <f>L15+S15</f>
        <v>288.78267926255143</v>
      </c>
      <c r="Z15" s="447">
        <f t="shared" si="15"/>
        <v>371.63647146255141</v>
      </c>
      <c r="AA15" s="447">
        <f t="shared" si="16"/>
        <v>3.034524860847978</v>
      </c>
      <c r="AC15" s="448">
        <f t="shared" si="17"/>
        <v>0</v>
      </c>
      <c r="AE15">
        <f>(AF15*0%)+AF15</f>
        <v>1236.69</v>
      </c>
      <c r="AF15" s="448">
        <f>'[13]FY 20'!C15</f>
        <v>1236.69</v>
      </c>
      <c r="AG15" s="448">
        <f>'[13]FY 20'!E15</f>
        <v>3.2262</v>
      </c>
      <c r="AH15" s="448">
        <f>(AG15*3%)+AG15</f>
        <v>3.3229859999999998</v>
      </c>
      <c r="AI15" s="448">
        <f t="shared" ref="AI15:AI33" si="32">AG15-AH15</f>
        <v>-9.6785999999999817E-2</v>
      </c>
      <c r="AN15">
        <v>0.75</v>
      </c>
      <c r="AO15">
        <f>AP15-AN15</f>
        <v>3.2061999999999999</v>
      </c>
      <c r="AP15">
        <v>3.9561999999999999</v>
      </c>
    </row>
    <row r="16" spans="1:43" ht="15.75" x14ac:dyDescent="0.2">
      <c r="A16" s="974" t="s">
        <v>982</v>
      </c>
      <c r="B16" s="975">
        <v>48.7226</v>
      </c>
      <c r="C16" s="976">
        <v>305.51</v>
      </c>
      <c r="D16" s="976">
        <f t="shared" ref="D16:D25" si="33">C16*AN16/10</f>
        <v>24.440800000000003</v>
      </c>
      <c r="E16" s="976">
        <f t="shared" ref="E16:E27" si="34">AH16</f>
        <v>2.54616</v>
      </c>
      <c r="F16" s="976">
        <f t="shared" si="23"/>
        <v>77.787734159999999</v>
      </c>
      <c r="G16" s="977">
        <f t="shared" si="24"/>
        <v>102.22853416000001</v>
      </c>
      <c r="H16" s="998">
        <f t="shared" si="25"/>
        <v>3.3461600000000002</v>
      </c>
      <c r="I16" s="446">
        <f>'[12]Actuals apprd'!F41</f>
        <v>159.922724833236</v>
      </c>
      <c r="J16" s="446">
        <f>'[12]Actuals apprd'!G41</f>
        <v>12.787189700000001</v>
      </c>
      <c r="K16" s="446">
        <f t="shared" si="26"/>
        <v>2.4350689647520816</v>
      </c>
      <c r="L16" s="446">
        <f>'[12]Actuals apprd'!H41</f>
        <v>38.9422864</v>
      </c>
      <c r="M16" s="446">
        <f t="shared" si="27"/>
        <v>51.729476099999999</v>
      </c>
      <c r="N16" s="446">
        <f t="shared" si="28"/>
        <v>3.2346544966603337</v>
      </c>
      <c r="O16" s="978">
        <f t="shared" ref="O16:O26" si="35">C16-(C16*0.97%)</f>
        <v>302.54655300000002</v>
      </c>
      <c r="P16" s="446">
        <f t="shared" si="29"/>
        <v>142.62382816676401</v>
      </c>
      <c r="Q16" s="446">
        <f t="shared" ref="Q16:Q27" si="36">J16</f>
        <v>12.787189700000001</v>
      </c>
      <c r="R16" s="446"/>
      <c r="S16" s="446">
        <f t="shared" ref="S16:S27" si="37">P16*K16/10</f>
        <v>34.729885760302082</v>
      </c>
      <c r="T16" s="446">
        <f t="shared" ref="T16:T27" si="38">Q16+S16</f>
        <v>47.517075460302081</v>
      </c>
      <c r="U16" s="446">
        <f t="shared" si="30"/>
        <v>3.3316365204236682</v>
      </c>
      <c r="V16" s="446">
        <f t="shared" si="14"/>
        <v>302.54655300000002</v>
      </c>
      <c r="W16" s="447">
        <f t="shared" si="14"/>
        <v>25.574379400000002</v>
      </c>
      <c r="X16" s="447">
        <f t="shared" si="31"/>
        <v>2.4350689647520816</v>
      </c>
      <c r="Y16" s="447">
        <f>L16+S16</f>
        <v>73.672172160302082</v>
      </c>
      <c r="Z16" s="447">
        <f t="shared" si="15"/>
        <v>99.24655156030208</v>
      </c>
      <c r="AA16" s="447">
        <f t="shared" si="16"/>
        <v>3.2803729071176058</v>
      </c>
      <c r="AC16" s="448">
        <f t="shared" si="17"/>
        <v>0</v>
      </c>
      <c r="AE16">
        <f t="shared" ref="AE16:AE33" si="39">(AF16*0%)+AF16</f>
        <v>305.51</v>
      </c>
      <c r="AF16" s="448">
        <f>'[13]FY 20'!C16</f>
        <v>305.51</v>
      </c>
      <c r="AG16" s="448">
        <f>'[13]FY 20'!E16</f>
        <v>2.472</v>
      </c>
      <c r="AH16" s="448">
        <f t="shared" ref="AH16:AH33" si="40">(AG16*3%)+AG16</f>
        <v>2.54616</v>
      </c>
      <c r="AI16" s="448">
        <f t="shared" si="32"/>
        <v>-7.4160000000000004E-2</v>
      </c>
      <c r="AN16">
        <v>0.8</v>
      </c>
      <c r="AO16">
        <f t="shared" ref="AO16:AO25" si="41">AP16-AN16</f>
        <v>2.452</v>
      </c>
      <c r="AP16">
        <v>3.2519999999999998</v>
      </c>
    </row>
    <row r="17" spans="1:42" ht="15.75" x14ac:dyDescent="0.2">
      <c r="A17" s="974" t="s">
        <v>983</v>
      </c>
      <c r="B17" s="975">
        <v>48.7226</v>
      </c>
      <c r="C17" s="976">
        <v>1151.1400000000001</v>
      </c>
      <c r="D17" s="976">
        <f t="shared" si="33"/>
        <v>85.184359999999998</v>
      </c>
      <c r="E17" s="976">
        <f t="shared" si="34"/>
        <v>2.0909</v>
      </c>
      <c r="F17" s="976">
        <f t="shared" si="23"/>
        <v>240.69186260000001</v>
      </c>
      <c r="G17" s="977">
        <f t="shared" si="24"/>
        <v>325.87622260000001</v>
      </c>
      <c r="H17" s="998">
        <f t="shared" si="25"/>
        <v>2.8308999999999997</v>
      </c>
      <c r="I17" s="446">
        <f>'[12]Actuals apprd'!F42</f>
        <v>517.32030892260195</v>
      </c>
      <c r="J17" s="446">
        <f>'[12]Actuals apprd'!G42</f>
        <v>39.694378999999998</v>
      </c>
      <c r="K17" s="446">
        <f t="shared" si="26"/>
        <v>1.7144470276976789</v>
      </c>
      <c r="L17" s="446">
        <f>'[12]Actuals apprd'!H42</f>
        <v>88.691826599999999</v>
      </c>
      <c r="M17" s="446">
        <f t="shared" si="27"/>
        <v>128.38620559999998</v>
      </c>
      <c r="N17" s="446">
        <f t="shared" si="28"/>
        <v>2.4817545993387298</v>
      </c>
      <c r="O17" s="978">
        <f t="shared" si="35"/>
        <v>1139.9739420000001</v>
      </c>
      <c r="P17" s="446">
        <f t="shared" si="29"/>
        <v>622.65363307739813</v>
      </c>
      <c r="Q17" s="446">
        <f t="shared" si="36"/>
        <v>39.694378999999998</v>
      </c>
      <c r="R17" s="446"/>
      <c r="S17" s="446">
        <f t="shared" si="37"/>
        <v>106.75066705147064</v>
      </c>
      <c r="T17" s="446">
        <f t="shared" si="38"/>
        <v>146.44504605147063</v>
      </c>
      <c r="U17" s="446">
        <f t="shared" si="30"/>
        <v>2.3519503986137824</v>
      </c>
      <c r="V17" s="446">
        <f t="shared" si="14"/>
        <v>1139.9739420000001</v>
      </c>
      <c r="W17" s="447">
        <f t="shared" si="14"/>
        <v>79.388757999999996</v>
      </c>
      <c r="X17" s="447">
        <f t="shared" si="31"/>
        <v>1.7144470276976789</v>
      </c>
      <c r="Y17" s="447">
        <f>L17+S17</f>
        <v>195.44249365147064</v>
      </c>
      <c r="Z17" s="447">
        <f t="shared" si="15"/>
        <v>274.83125165147067</v>
      </c>
      <c r="AA17" s="447">
        <f t="shared" si="16"/>
        <v>2.4108555601656958</v>
      </c>
      <c r="AC17" s="448">
        <f t="shared" si="17"/>
        <v>0</v>
      </c>
      <c r="AE17">
        <f t="shared" si="39"/>
        <v>1151.1400000000001</v>
      </c>
      <c r="AF17" s="448">
        <f>'[13]FY 20'!C17</f>
        <v>1151.1400000000001</v>
      </c>
      <c r="AG17" s="448">
        <f>'[13]FY 20'!E17</f>
        <v>2.0299999999999998</v>
      </c>
      <c r="AH17" s="448">
        <f t="shared" si="40"/>
        <v>2.0909</v>
      </c>
      <c r="AI17" s="448">
        <f t="shared" si="32"/>
        <v>-6.0900000000000176E-2</v>
      </c>
      <c r="AN17">
        <v>0.74</v>
      </c>
      <c r="AO17">
        <f t="shared" si="41"/>
        <v>2.0095000000000001</v>
      </c>
      <c r="AP17">
        <v>2.7494999999999998</v>
      </c>
    </row>
    <row r="18" spans="1:42" ht="15.75" x14ac:dyDescent="0.2">
      <c r="A18" s="974" t="s">
        <v>984</v>
      </c>
      <c r="B18" s="975">
        <v>48.7226</v>
      </c>
      <c r="C18" s="976">
        <v>505.86</v>
      </c>
      <c r="D18" s="976">
        <f t="shared" si="33"/>
        <v>78.91416000000001</v>
      </c>
      <c r="E18" s="976">
        <f t="shared" si="34"/>
        <v>3.4813999999999998</v>
      </c>
      <c r="F18" s="976">
        <f t="shared" si="23"/>
        <v>176.11010039999999</v>
      </c>
      <c r="G18" s="977">
        <f t="shared" si="24"/>
        <v>255.0242604</v>
      </c>
      <c r="H18" s="998">
        <f t="shared" si="25"/>
        <v>5.0414000000000003</v>
      </c>
      <c r="I18" s="446">
        <f>'[12]Actuals apprd'!F43</f>
        <v>194.14585023048997</v>
      </c>
      <c r="J18" s="446">
        <f>'[12]Actuals apprd'!G43</f>
        <v>39.2600038</v>
      </c>
      <c r="K18" s="446">
        <f t="shared" si="26"/>
        <v>2.8952864165402739</v>
      </c>
      <c r="L18" s="446">
        <f>'[12]Actuals apprd'!H43</f>
        <v>56.2107843</v>
      </c>
      <c r="M18" s="446">
        <f t="shared" si="27"/>
        <v>95.470788099999993</v>
      </c>
      <c r="N18" s="446">
        <f t="shared" si="28"/>
        <v>4.9174776585055548</v>
      </c>
      <c r="O18" s="978">
        <f t="shared" si="35"/>
        <v>500.95315800000003</v>
      </c>
      <c r="P18" s="446">
        <f t="shared" si="29"/>
        <v>306.80730776951009</v>
      </c>
      <c r="Q18" s="446">
        <f t="shared" si="36"/>
        <v>39.2600038</v>
      </c>
      <c r="R18" s="446"/>
      <c r="S18" s="446">
        <f t="shared" si="37"/>
        <v>88.829503068035379</v>
      </c>
      <c r="T18" s="446">
        <f t="shared" si="38"/>
        <v>128.08950686803539</v>
      </c>
      <c r="U18" s="446">
        <f t="shared" si="30"/>
        <v>4.1749170774075246</v>
      </c>
      <c r="V18" s="446">
        <f t="shared" si="14"/>
        <v>500.95315800000003</v>
      </c>
      <c r="W18" s="447">
        <f t="shared" si="14"/>
        <v>78.5200076</v>
      </c>
      <c r="X18" s="447">
        <f t="shared" si="31"/>
        <v>2.8952864165402739</v>
      </c>
      <c r="Y18" s="447">
        <f>L18+S18</f>
        <v>145.04028736803537</v>
      </c>
      <c r="Z18" s="447">
        <f t="shared" si="15"/>
        <v>223.56029496803535</v>
      </c>
      <c r="AA18" s="447">
        <f t="shared" si="16"/>
        <v>4.4626985856437171</v>
      </c>
      <c r="AC18" s="448">
        <f t="shared" si="17"/>
        <v>0</v>
      </c>
      <c r="AE18">
        <f t="shared" si="39"/>
        <v>505.86</v>
      </c>
      <c r="AF18" s="448">
        <f>'[13]FY 20'!C18</f>
        <v>505.86</v>
      </c>
      <c r="AG18" s="448">
        <f>'[13]FY 20'!E18</f>
        <v>3.38</v>
      </c>
      <c r="AH18" s="448">
        <f t="shared" si="40"/>
        <v>3.4813999999999998</v>
      </c>
      <c r="AI18" s="448">
        <f t="shared" si="32"/>
        <v>-0.10139999999999993</v>
      </c>
      <c r="AN18">
        <v>1.56</v>
      </c>
      <c r="AO18">
        <f t="shared" si="41"/>
        <v>3.3474999999999997</v>
      </c>
      <c r="AP18">
        <v>4.9074999999999998</v>
      </c>
    </row>
    <row r="19" spans="1:42" ht="47.25" x14ac:dyDescent="0.2">
      <c r="A19" s="974" t="s">
        <v>985</v>
      </c>
      <c r="B19" s="975">
        <v>48.7226</v>
      </c>
      <c r="C19" s="976">
        <v>439.32</v>
      </c>
      <c r="D19" s="976">
        <f t="shared" si="33"/>
        <v>87.161087999999992</v>
      </c>
      <c r="E19" s="976">
        <f t="shared" si="34"/>
        <v>4.5526</v>
      </c>
      <c r="F19" s="976">
        <f t="shared" si="23"/>
        <v>200.00482319999998</v>
      </c>
      <c r="G19" s="977">
        <f t="shared" si="24"/>
        <v>287.16591119999998</v>
      </c>
      <c r="H19" s="998">
        <f t="shared" si="25"/>
        <v>6.5366</v>
      </c>
      <c r="I19" s="446">
        <f>'[12]Actuals apprd'!$F$54</f>
        <v>145.046496091352</v>
      </c>
      <c r="J19" s="446">
        <f>'[12]Actuals apprd'!$E$54</f>
        <v>39.275287859999999</v>
      </c>
      <c r="K19" s="446">
        <f t="shared" si="26"/>
        <v>3.4926391995084143</v>
      </c>
      <c r="L19" s="446">
        <f>'[12]Actuals apprd'!$H$54</f>
        <v>50.6595078</v>
      </c>
      <c r="M19" s="446">
        <f t="shared" si="27"/>
        <v>89.934795659999992</v>
      </c>
      <c r="N19" s="446">
        <f t="shared" si="28"/>
        <v>6.2004114600161042</v>
      </c>
      <c r="O19" s="978">
        <f t="shared" si="35"/>
        <v>435.05859599999997</v>
      </c>
      <c r="P19" s="446">
        <f t="shared" si="29"/>
        <v>290.012099908648</v>
      </c>
      <c r="Q19" s="446">
        <f t="shared" si="36"/>
        <v>39.275287859999999</v>
      </c>
      <c r="R19" s="446"/>
      <c r="S19" s="446">
        <f t="shared" si="37"/>
        <v>101.29076284726946</v>
      </c>
      <c r="T19" s="446">
        <f t="shared" si="38"/>
        <v>140.56605070726945</v>
      </c>
      <c r="U19" s="446">
        <f t="shared" si="30"/>
        <v>4.8469029654813331</v>
      </c>
      <c r="V19" s="446">
        <f t="shared" si="14"/>
        <v>435.05859599999997</v>
      </c>
      <c r="W19" s="447">
        <f t="shared" si="14"/>
        <v>78.550575719999998</v>
      </c>
      <c r="X19" s="447">
        <f t="shared" si="31"/>
        <v>3.4926391995084143</v>
      </c>
      <c r="Y19" s="447">
        <f>L19+S19</f>
        <v>151.95027064726946</v>
      </c>
      <c r="Z19" s="447">
        <f t="shared" si="15"/>
        <v>230.50084636726945</v>
      </c>
      <c r="AA19" s="447">
        <f t="shared" si="16"/>
        <v>5.2981563515014294</v>
      </c>
      <c r="AC19" s="448">
        <f t="shared" si="17"/>
        <v>0</v>
      </c>
      <c r="AE19">
        <f t="shared" si="39"/>
        <v>439.32</v>
      </c>
      <c r="AF19" s="448">
        <f>'[13]FY 20'!C19</f>
        <v>439.32</v>
      </c>
      <c r="AG19" s="448">
        <f>'[13]FY 20'!E19</f>
        <v>4.42</v>
      </c>
      <c r="AH19" s="448">
        <f t="shared" si="40"/>
        <v>4.5526</v>
      </c>
      <c r="AI19" s="448">
        <f t="shared" si="32"/>
        <v>-0.13260000000000005</v>
      </c>
      <c r="AN19">
        <f>1.784+0.2</f>
        <v>1.984</v>
      </c>
      <c r="AO19">
        <f t="shared" si="41"/>
        <v>4.22</v>
      </c>
      <c r="AP19">
        <v>6.2039999999999997</v>
      </c>
    </row>
    <row r="20" spans="1:42" ht="15.75" x14ac:dyDescent="0.2">
      <c r="A20" s="974" t="s">
        <v>894</v>
      </c>
      <c r="B20" s="975">
        <v>61</v>
      </c>
      <c r="C20" s="1005">
        <f>3761.03-84-800</f>
        <v>2877.03</v>
      </c>
      <c r="D20" s="1005">
        <f>C20*1.66/10</f>
        <v>477.58698000000004</v>
      </c>
      <c r="E20" s="1005">
        <f t="shared" si="34"/>
        <v>4.8152499999999998</v>
      </c>
      <c r="F20" s="1005">
        <f>C20*E20/10</f>
        <v>1385.36187075</v>
      </c>
      <c r="G20" s="1006">
        <f>D20+F20</f>
        <v>1862.94885075</v>
      </c>
      <c r="H20" s="1007">
        <f>G20/C20*10</f>
        <v>6.47525</v>
      </c>
      <c r="I20" s="446"/>
      <c r="J20" s="446"/>
      <c r="K20" s="446"/>
      <c r="L20" s="446"/>
      <c r="M20" s="446"/>
      <c r="N20" s="446"/>
      <c r="O20" s="978"/>
      <c r="P20" s="446"/>
      <c r="Q20" s="446"/>
      <c r="R20" s="446"/>
      <c r="S20" s="446"/>
      <c r="T20" s="446"/>
      <c r="U20" s="446"/>
      <c r="V20" s="446"/>
      <c r="W20" s="447"/>
      <c r="X20" s="447"/>
      <c r="Y20" s="447"/>
      <c r="Z20" s="447"/>
      <c r="AA20" s="447"/>
      <c r="AC20" s="448"/>
      <c r="AF20" s="448"/>
      <c r="AG20" s="448">
        <f>'[13]FY 20'!E20</f>
        <v>4.6749999999999998</v>
      </c>
      <c r="AH20" s="448">
        <f t="shared" si="40"/>
        <v>4.8152499999999998</v>
      </c>
      <c r="AI20" s="448"/>
    </row>
    <row r="21" spans="1:42" ht="47.25" x14ac:dyDescent="0.2">
      <c r="A21" s="988" t="s">
        <v>986</v>
      </c>
      <c r="B21" s="975">
        <v>48.7226</v>
      </c>
      <c r="C21" s="976">
        <v>363.06</v>
      </c>
      <c r="D21" s="976">
        <f t="shared" si="33"/>
        <v>30.133980000000001</v>
      </c>
      <c r="E21" s="976">
        <f t="shared" si="34"/>
        <v>3.0302600000000002</v>
      </c>
      <c r="F21" s="976">
        <f t="shared" si="23"/>
        <v>110.01661956000001</v>
      </c>
      <c r="G21" s="977">
        <f t="shared" si="24"/>
        <v>140.15059956000002</v>
      </c>
      <c r="H21" s="998">
        <f t="shared" si="25"/>
        <v>3.8602600000000002</v>
      </c>
      <c r="I21" s="446">
        <f>'[12]Actuals apprd'!F44</f>
        <v>156.647690679698</v>
      </c>
      <c r="J21" s="446">
        <f>'[12]Actuals apprd'!G44</f>
        <v>16.392015000000001</v>
      </c>
      <c r="K21" s="446">
        <f t="shared" si="26"/>
        <v>2.5937966160688464</v>
      </c>
      <c r="L21" s="446">
        <f>'[12]Actuals apprd'!H44</f>
        <v>40.631225000000001</v>
      </c>
      <c r="M21" s="446">
        <f t="shared" si="27"/>
        <v>57.023240000000001</v>
      </c>
      <c r="N21" s="446">
        <f t="shared" si="28"/>
        <v>3.6402221923971445</v>
      </c>
      <c r="O21" s="978">
        <f t="shared" si="35"/>
        <v>359.538318</v>
      </c>
      <c r="P21" s="446">
        <f t="shared" si="29"/>
        <v>202.890627320302</v>
      </c>
      <c r="Q21" s="446">
        <f t="shared" si="36"/>
        <v>16.392015000000001</v>
      </c>
      <c r="R21" s="446"/>
      <c r="S21" s="446">
        <f t="shared" si="37"/>
        <v>52.625702257548468</v>
      </c>
      <c r="T21" s="446">
        <f t="shared" si="38"/>
        <v>69.017717257548469</v>
      </c>
      <c r="U21" s="446">
        <f t="shared" si="30"/>
        <v>3.4017203342069955</v>
      </c>
      <c r="V21" s="446">
        <f t="shared" si="14"/>
        <v>359.538318</v>
      </c>
      <c r="W21" s="447">
        <f t="shared" si="14"/>
        <v>32.784030000000001</v>
      </c>
      <c r="X21" s="447">
        <f t="shared" si="31"/>
        <v>2.5937966160688459</v>
      </c>
      <c r="Y21" s="447">
        <f t="shared" ref="Y21:Y27" si="42">L21+S21</f>
        <v>93.256927257548469</v>
      </c>
      <c r="Z21" s="447">
        <f t="shared" si="15"/>
        <v>126.04095725754847</v>
      </c>
      <c r="AA21" s="447">
        <f t="shared" si="16"/>
        <v>3.5056335012822881</v>
      </c>
      <c r="AC21" s="448">
        <f t="shared" si="17"/>
        <v>0</v>
      </c>
      <c r="AE21">
        <f t="shared" si="39"/>
        <v>363.06</v>
      </c>
      <c r="AF21" s="448">
        <f>'[13]FY 20'!C21</f>
        <v>363.06</v>
      </c>
      <c r="AG21" s="448">
        <f>'[13]FY 20'!E21</f>
        <v>2.9420000000000002</v>
      </c>
      <c r="AH21" s="448">
        <f t="shared" si="40"/>
        <v>3.0302600000000002</v>
      </c>
      <c r="AI21" s="448">
        <f t="shared" si="32"/>
        <v>-8.8260000000000005E-2</v>
      </c>
      <c r="AN21">
        <f>0.81+0.02</f>
        <v>0.83000000000000007</v>
      </c>
      <c r="AO21">
        <f t="shared" si="41"/>
        <v>2.9219999999999997</v>
      </c>
      <c r="AP21">
        <v>3.7519999999999998</v>
      </c>
    </row>
    <row r="22" spans="1:42" ht="31.5" x14ac:dyDescent="0.2">
      <c r="A22" s="974" t="s">
        <v>987</v>
      </c>
      <c r="B22" s="975">
        <v>48.7226</v>
      </c>
      <c r="C22" s="976">
        <v>490.69</v>
      </c>
      <c r="D22" s="976">
        <v>39.799999999999997</v>
      </c>
      <c r="E22" s="976">
        <f t="shared" si="34"/>
        <v>3.0282</v>
      </c>
      <c r="F22" s="976">
        <f t="shared" si="23"/>
        <v>148.59074579999998</v>
      </c>
      <c r="G22" s="977">
        <f t="shared" si="24"/>
        <v>188.39074579999999</v>
      </c>
      <c r="H22" s="998">
        <f t="shared" si="25"/>
        <v>3.8393027328863432</v>
      </c>
      <c r="I22" s="446">
        <f>'[12]Actuals apprd'!F45</f>
        <v>217.494423488656</v>
      </c>
      <c r="J22" s="446">
        <f>'[12]Actuals apprd'!G45</f>
        <v>22.904916799999999</v>
      </c>
      <c r="K22" s="446">
        <f t="shared" si="26"/>
        <v>2.5924971958161924</v>
      </c>
      <c r="L22" s="446">
        <f>'[12]Actuals apprd'!H45</f>
        <v>56.385368300000003</v>
      </c>
      <c r="M22" s="446">
        <f t="shared" si="27"/>
        <v>79.290285100000006</v>
      </c>
      <c r="N22" s="446">
        <f t="shared" si="28"/>
        <v>3.6456238200578781</v>
      </c>
      <c r="O22" s="978">
        <f t="shared" si="35"/>
        <v>485.93030699999997</v>
      </c>
      <c r="P22" s="446">
        <f t="shared" si="29"/>
        <v>268.43588351134395</v>
      </c>
      <c r="Q22" s="446">
        <f t="shared" si="36"/>
        <v>22.904916799999999</v>
      </c>
      <c r="R22" s="446"/>
      <c r="S22" s="446">
        <f t="shared" si="37"/>
        <v>69.591927525960131</v>
      </c>
      <c r="T22" s="446">
        <f t="shared" si="38"/>
        <v>92.496844325960126</v>
      </c>
      <c r="U22" s="446">
        <f t="shared" si="30"/>
        <v>3.4457704803110372</v>
      </c>
      <c r="V22" s="446">
        <f t="shared" si="14"/>
        <v>485.93030699999997</v>
      </c>
      <c r="W22" s="447">
        <f t="shared" si="14"/>
        <v>45.809833599999997</v>
      </c>
      <c r="X22" s="447">
        <f t="shared" si="31"/>
        <v>2.5924971958161924</v>
      </c>
      <c r="Y22" s="447">
        <f t="shared" si="42"/>
        <v>125.97729582596014</v>
      </c>
      <c r="Z22" s="447">
        <f t="shared" si="15"/>
        <v>171.78712942596013</v>
      </c>
      <c r="AA22" s="447">
        <f t="shared" si="16"/>
        <v>3.5352215523770605</v>
      </c>
      <c r="AC22" s="448">
        <f t="shared" si="17"/>
        <v>0</v>
      </c>
      <c r="AE22">
        <f t="shared" si="39"/>
        <v>490.69</v>
      </c>
      <c r="AF22" s="448">
        <f>'[13]FY 20'!C22</f>
        <v>490.69</v>
      </c>
      <c r="AG22" s="448">
        <f>'[13]FY 20'!E22</f>
        <v>2.94</v>
      </c>
      <c r="AH22" s="448">
        <f t="shared" si="40"/>
        <v>3.0282</v>
      </c>
      <c r="AI22" s="448">
        <f t="shared" si="32"/>
        <v>-8.8200000000000056E-2</v>
      </c>
      <c r="AN22">
        <f>0.82+0.02</f>
        <v>0.84</v>
      </c>
      <c r="AO22">
        <f t="shared" si="41"/>
        <v>2.9119999999999999</v>
      </c>
      <c r="AP22">
        <v>3.7519999999999998</v>
      </c>
    </row>
    <row r="23" spans="1:42" ht="31.5" x14ac:dyDescent="0.2">
      <c r="A23" s="988" t="s">
        <v>988</v>
      </c>
      <c r="B23" s="975">
        <v>48.7226</v>
      </c>
      <c r="C23" s="976">
        <v>348.37</v>
      </c>
      <c r="D23" s="976">
        <f t="shared" si="33"/>
        <v>36.578850000000003</v>
      </c>
      <c r="E23" s="976">
        <f t="shared" si="34"/>
        <v>3.57925</v>
      </c>
      <c r="F23" s="976">
        <f t="shared" si="23"/>
        <v>124.69033225000001</v>
      </c>
      <c r="G23" s="977">
        <f t="shared" si="24"/>
        <v>161.26918225000003</v>
      </c>
      <c r="H23" s="998">
        <f t="shared" si="25"/>
        <v>4.6292500000000008</v>
      </c>
      <c r="I23" s="446">
        <f>'[12]Actuals apprd'!F46</f>
        <v>98.404026810849999</v>
      </c>
      <c r="J23" s="446">
        <f>'[12]Actuals apprd'!G46</f>
        <v>13.763811</v>
      </c>
      <c r="K23" s="446">
        <f t="shared" si="26"/>
        <v>2.4703216004286221</v>
      </c>
      <c r="L23" s="446">
        <f>'[12]Actuals apprd'!H46</f>
        <v>24.308959300000001</v>
      </c>
      <c r="M23" s="446">
        <f t="shared" si="27"/>
        <v>38.072770300000002</v>
      </c>
      <c r="N23" s="446">
        <f t="shared" si="28"/>
        <v>3.8690256419264859</v>
      </c>
      <c r="O23" s="978">
        <f t="shared" si="35"/>
        <v>344.99081100000001</v>
      </c>
      <c r="P23" s="446">
        <f t="shared" si="29"/>
        <v>246.58678418915002</v>
      </c>
      <c r="Q23" s="446">
        <f t="shared" si="36"/>
        <v>13.763811</v>
      </c>
      <c r="R23" s="446"/>
      <c r="S23" s="446">
        <f t="shared" si="37"/>
        <v>60.914865936268839</v>
      </c>
      <c r="T23" s="446">
        <f t="shared" si="38"/>
        <v>74.678676936268843</v>
      </c>
      <c r="U23" s="446">
        <f t="shared" si="30"/>
        <v>3.0284947014429155</v>
      </c>
      <c r="V23" s="446">
        <f t="shared" si="14"/>
        <v>344.99081100000001</v>
      </c>
      <c r="W23" s="447">
        <f t="shared" si="14"/>
        <v>27.527622000000001</v>
      </c>
      <c r="X23" s="447">
        <f t="shared" si="31"/>
        <v>2.4703216004286226</v>
      </c>
      <c r="Y23" s="447">
        <f t="shared" si="42"/>
        <v>85.223825236268837</v>
      </c>
      <c r="Z23" s="447">
        <f t="shared" si="15"/>
        <v>112.75144723626883</v>
      </c>
      <c r="AA23" s="447">
        <f t="shared" si="16"/>
        <v>3.2682449398998292</v>
      </c>
      <c r="AC23" s="448">
        <f t="shared" si="17"/>
        <v>0</v>
      </c>
      <c r="AE23">
        <f t="shared" si="39"/>
        <v>348.37</v>
      </c>
      <c r="AF23" s="448">
        <f>'[13]FY 20'!C23</f>
        <v>348.37</v>
      </c>
      <c r="AG23" s="448">
        <f>'[13]FY 20'!E23</f>
        <v>3.4750000000000001</v>
      </c>
      <c r="AH23" s="448">
        <f t="shared" si="40"/>
        <v>3.57925</v>
      </c>
      <c r="AI23" s="448">
        <f t="shared" si="32"/>
        <v>-0.10424999999999995</v>
      </c>
      <c r="AN23">
        <v>1.05</v>
      </c>
      <c r="AO23">
        <f t="shared" si="41"/>
        <v>3.4550000000000001</v>
      </c>
      <c r="AP23">
        <v>4.5049999999999999</v>
      </c>
    </row>
    <row r="24" spans="1:42" ht="31.5" x14ac:dyDescent="0.2">
      <c r="A24" s="974" t="s">
        <v>989</v>
      </c>
      <c r="B24" s="975">
        <v>48.7226</v>
      </c>
      <c r="C24" s="976">
        <v>291.89999999999998</v>
      </c>
      <c r="D24" s="976">
        <f t="shared" si="33"/>
        <v>69.180300000000003</v>
      </c>
      <c r="E24" s="976">
        <f t="shared" si="34"/>
        <v>3.0446800000000001</v>
      </c>
      <c r="F24" s="976">
        <f t="shared" si="23"/>
        <v>88.874209199999996</v>
      </c>
      <c r="G24" s="977">
        <f t="shared" si="24"/>
        <v>158.05450919999998</v>
      </c>
      <c r="H24" s="998">
        <f t="shared" si="25"/>
        <v>5.4146799999999997</v>
      </c>
      <c r="I24" s="446">
        <f>'[12]Actuals apprd'!F47</f>
        <v>63.919122791403993</v>
      </c>
      <c r="J24" s="446">
        <f>'[12]Actuals apprd'!G47</f>
        <v>17.429225500000001</v>
      </c>
      <c r="K24" s="446">
        <f t="shared" si="26"/>
        <v>2.5510420806639851</v>
      </c>
      <c r="L24" s="446">
        <f>'[12]Actuals apprd'!H47</f>
        <v>16.306037199999999</v>
      </c>
      <c r="M24" s="446">
        <f t="shared" si="27"/>
        <v>33.7352627</v>
      </c>
      <c r="N24" s="446">
        <f t="shared" si="28"/>
        <v>5.2778043919802986</v>
      </c>
      <c r="O24" s="978">
        <f t="shared" si="35"/>
        <v>289.06856999999997</v>
      </c>
      <c r="P24" s="446">
        <f t="shared" si="29"/>
        <v>225.14944720859597</v>
      </c>
      <c r="Q24" s="446">
        <f t="shared" si="36"/>
        <v>17.429225500000001</v>
      </c>
      <c r="R24" s="446"/>
      <c r="S24" s="446">
        <f t="shared" si="37"/>
        <v>57.436571426736272</v>
      </c>
      <c r="T24" s="446">
        <f t="shared" si="38"/>
        <v>74.865796926736266</v>
      </c>
      <c r="U24" s="446">
        <f t="shared" si="30"/>
        <v>3.3251601482891835</v>
      </c>
      <c r="V24" s="446">
        <f t="shared" si="14"/>
        <v>289.06856999999997</v>
      </c>
      <c r="W24" s="447">
        <f t="shared" si="14"/>
        <v>34.858451000000002</v>
      </c>
      <c r="X24" s="447">
        <f t="shared" si="31"/>
        <v>2.5510420806639851</v>
      </c>
      <c r="Y24" s="447">
        <f t="shared" si="42"/>
        <v>73.742608626736271</v>
      </c>
      <c r="Z24" s="447">
        <f t="shared" si="15"/>
        <v>108.60105962673627</v>
      </c>
      <c r="AA24" s="447">
        <f t="shared" si="16"/>
        <v>3.7569307388463673</v>
      </c>
      <c r="AC24" s="448">
        <f t="shared" si="17"/>
        <v>0</v>
      </c>
      <c r="AE24">
        <f t="shared" si="39"/>
        <v>291.89999999999998</v>
      </c>
      <c r="AF24" s="448">
        <f>'[13]FY 20'!C24</f>
        <v>291.89999999999998</v>
      </c>
      <c r="AG24" s="448">
        <f>'[13]FY 20'!E24</f>
        <v>2.956</v>
      </c>
      <c r="AH24" s="448">
        <f t="shared" si="40"/>
        <v>3.0446800000000001</v>
      </c>
      <c r="AI24" s="448">
        <f t="shared" si="32"/>
        <v>-8.8680000000000092E-2</v>
      </c>
      <c r="AN24">
        <f>2.35+0.02</f>
        <v>2.37</v>
      </c>
      <c r="AO24">
        <f t="shared" si="41"/>
        <v>2.9359999999999999</v>
      </c>
      <c r="AP24">
        <v>5.306</v>
      </c>
    </row>
    <row r="25" spans="1:42" ht="47.25" x14ac:dyDescent="0.2">
      <c r="A25" s="988" t="s">
        <v>990</v>
      </c>
      <c r="B25" s="975">
        <v>48.7226</v>
      </c>
      <c r="C25" s="976">
        <v>585.78</v>
      </c>
      <c r="D25" s="976">
        <f t="shared" si="33"/>
        <v>92.670396000000011</v>
      </c>
      <c r="E25" s="976">
        <f t="shared" si="34"/>
        <v>4.4702000000000002</v>
      </c>
      <c r="F25" s="976">
        <f t="shared" si="23"/>
        <v>261.8553756</v>
      </c>
      <c r="G25" s="977">
        <f t="shared" si="24"/>
        <v>354.52577159999998</v>
      </c>
      <c r="H25" s="998">
        <f t="shared" si="25"/>
        <v>6.0522</v>
      </c>
      <c r="I25" s="446">
        <f>'[12]Actuals apprd'!$F$52</f>
        <v>221.89816337010598</v>
      </c>
      <c r="J25" s="446">
        <f>'[12]Actuals apprd'!$G$52</f>
        <v>50.686374299999997</v>
      </c>
      <c r="K25" s="446">
        <f t="shared" si="26"/>
        <v>3.4374123220109447</v>
      </c>
      <c r="L25" s="446">
        <f>'[12]Actuals apprd'!$H$52</f>
        <v>76.275548099999995</v>
      </c>
      <c r="M25" s="446">
        <f t="shared" si="27"/>
        <v>126.96192239999999</v>
      </c>
      <c r="N25" s="446">
        <f t="shared" si="28"/>
        <v>5.7216301600585595</v>
      </c>
      <c r="O25" s="978">
        <f t="shared" si="35"/>
        <v>580.09793400000001</v>
      </c>
      <c r="P25" s="446">
        <f t="shared" si="29"/>
        <v>358.19977062989403</v>
      </c>
      <c r="Q25" s="446">
        <f t="shared" si="36"/>
        <v>50.686374299999997</v>
      </c>
      <c r="R25" s="446"/>
      <c r="S25" s="446">
        <f t="shared" si="37"/>
        <v>123.12803053046919</v>
      </c>
      <c r="T25" s="446">
        <f t="shared" si="38"/>
        <v>173.81440483046919</v>
      </c>
      <c r="U25" s="446">
        <f t="shared" si="30"/>
        <v>4.8524432197378768</v>
      </c>
      <c r="V25" s="446">
        <f t="shared" si="14"/>
        <v>580.09793400000001</v>
      </c>
      <c r="W25" s="447">
        <f t="shared" si="14"/>
        <v>101.37274859999999</v>
      </c>
      <c r="X25" s="447">
        <f t="shared" si="31"/>
        <v>3.4374123220109447</v>
      </c>
      <c r="Y25" s="447">
        <f t="shared" si="42"/>
        <v>199.40357863046918</v>
      </c>
      <c r="Z25" s="447">
        <f t="shared" si="15"/>
        <v>300.77632723046918</v>
      </c>
      <c r="AA25" s="447">
        <f t="shared" si="16"/>
        <v>5.1849232621205852</v>
      </c>
      <c r="AC25" s="448">
        <f t="shared" si="17"/>
        <v>0</v>
      </c>
      <c r="AE25">
        <f t="shared" si="39"/>
        <v>585.78</v>
      </c>
      <c r="AF25" s="448">
        <f>'[13]FY 20'!C25</f>
        <v>585.78</v>
      </c>
      <c r="AG25" s="448">
        <f>'[13]FY 20'!E25</f>
        <v>4.34</v>
      </c>
      <c r="AH25" s="448">
        <f t="shared" si="40"/>
        <v>4.4702000000000002</v>
      </c>
      <c r="AI25" s="448">
        <f t="shared" si="32"/>
        <v>-0.13020000000000032</v>
      </c>
      <c r="AN25">
        <f>1.562+0.02</f>
        <v>1.5820000000000001</v>
      </c>
      <c r="AO25">
        <f t="shared" si="41"/>
        <v>4.32</v>
      </c>
      <c r="AP25">
        <v>5.9020000000000001</v>
      </c>
    </row>
    <row r="26" spans="1:42" ht="15.75" x14ac:dyDescent="0.2">
      <c r="A26" s="974" t="s">
        <v>991</v>
      </c>
      <c r="B26" s="975">
        <v>48.7226</v>
      </c>
      <c r="C26" s="976">
        <v>99.56</v>
      </c>
      <c r="D26" s="976"/>
      <c r="E26" s="976">
        <f t="shared" si="34"/>
        <v>2.9870000000000001</v>
      </c>
      <c r="F26" s="976">
        <f t="shared" si="23"/>
        <v>29.738571999999998</v>
      </c>
      <c r="G26" s="977">
        <f t="shared" si="24"/>
        <v>29.738571999999998</v>
      </c>
      <c r="H26" s="998">
        <f t="shared" si="25"/>
        <v>2.9869999999999997</v>
      </c>
      <c r="I26" s="446">
        <f>'[12]Actuals apprd'!$F$49</f>
        <v>31.113178536740001</v>
      </c>
      <c r="J26" s="445"/>
      <c r="K26" s="446">
        <f t="shared" si="26"/>
        <v>2.8681223500603488</v>
      </c>
      <c r="L26" s="446">
        <f>'[12]Actuals apprd'!$K$49</f>
        <v>8.9236402742641925</v>
      </c>
      <c r="M26" s="446">
        <f t="shared" si="27"/>
        <v>8.9236402742641925</v>
      </c>
      <c r="N26" s="446">
        <f t="shared" si="28"/>
        <v>2.8681223500603488</v>
      </c>
      <c r="O26" s="978">
        <f t="shared" si="35"/>
        <v>98.594268</v>
      </c>
      <c r="P26" s="446">
        <f t="shared" si="29"/>
        <v>67.481089463259991</v>
      </c>
      <c r="Q26" s="446">
        <f t="shared" si="36"/>
        <v>0</v>
      </c>
      <c r="R26" s="446"/>
      <c r="S26" s="446">
        <f t="shared" si="37"/>
        <v>19.354402089599787</v>
      </c>
      <c r="T26" s="446">
        <f t="shared" si="38"/>
        <v>19.354402089599787</v>
      </c>
      <c r="U26" s="446">
        <f t="shared" si="30"/>
        <v>2.8681223500603488</v>
      </c>
      <c r="V26" s="446">
        <f t="shared" si="14"/>
        <v>98.594268</v>
      </c>
      <c r="W26" s="447">
        <f t="shared" si="14"/>
        <v>0</v>
      </c>
      <c r="X26" s="447">
        <f t="shared" si="31"/>
        <v>2.8681223500603488</v>
      </c>
      <c r="Y26" s="447">
        <f t="shared" si="42"/>
        <v>28.278042363863982</v>
      </c>
      <c r="Z26" s="447">
        <f t="shared" si="15"/>
        <v>28.278042363863982</v>
      </c>
      <c r="AA26" s="447">
        <f t="shared" si="16"/>
        <v>2.8681223500603488</v>
      </c>
      <c r="AC26" s="448">
        <f t="shared" si="17"/>
        <v>0</v>
      </c>
      <c r="AE26">
        <f t="shared" si="39"/>
        <v>99.56</v>
      </c>
      <c r="AF26" s="448">
        <f>'[13]FY 20'!C26</f>
        <v>99.56</v>
      </c>
      <c r="AG26" s="448">
        <f>'[13]FY 20'!E26</f>
        <v>2.9</v>
      </c>
      <c r="AH26" s="448">
        <f t="shared" si="40"/>
        <v>2.9870000000000001</v>
      </c>
      <c r="AI26" s="448">
        <f t="shared" si="32"/>
        <v>-8.7000000000000188E-2</v>
      </c>
      <c r="AN26">
        <f>D26/C26*10</f>
        <v>0</v>
      </c>
    </row>
    <row r="27" spans="1:42" ht="15.75" x14ac:dyDescent="0.2">
      <c r="A27" s="974" t="s">
        <v>1081</v>
      </c>
      <c r="B27" s="975">
        <v>48.7226</v>
      </c>
      <c r="C27" s="976">
        <f>429.3+451.18</f>
        <v>880.48</v>
      </c>
      <c r="D27" s="976"/>
      <c r="E27" s="976">
        <f t="shared" si="34"/>
        <v>3.9655</v>
      </c>
      <c r="F27" s="976">
        <f t="shared" si="23"/>
        <v>349.15434399999998</v>
      </c>
      <c r="G27" s="977">
        <f t="shared" si="24"/>
        <v>349.15434399999998</v>
      </c>
      <c r="H27" s="998">
        <f t="shared" si="25"/>
        <v>3.9654999999999996</v>
      </c>
      <c r="I27" s="446">
        <f>'[12]Actuals apprd'!$F$50</f>
        <v>538.24094065265001</v>
      </c>
      <c r="J27" s="445"/>
      <c r="K27" s="446">
        <f t="shared" si="26"/>
        <v>3.8005108086796531</v>
      </c>
      <c r="L27" s="446">
        <f>'[12]Actuals apprd'!$H$50</f>
        <v>204.55905126242999</v>
      </c>
      <c r="M27" s="446">
        <f t="shared" si="27"/>
        <v>204.55905126242999</v>
      </c>
      <c r="N27" s="446">
        <f t="shared" si="28"/>
        <v>3.8005108086796531</v>
      </c>
      <c r="O27" s="978">
        <f>872.63-(872.63*0.97%)</f>
        <v>864.16548899999998</v>
      </c>
      <c r="P27" s="446">
        <f t="shared" si="29"/>
        <v>325.92454834734997</v>
      </c>
      <c r="Q27" s="446">
        <f t="shared" si="36"/>
        <v>0</v>
      </c>
      <c r="R27" s="446"/>
      <c r="S27" s="446">
        <f t="shared" si="37"/>
        <v>123.86797688081376</v>
      </c>
      <c r="T27" s="446">
        <f t="shared" si="38"/>
        <v>123.86797688081376</v>
      </c>
      <c r="U27" s="446">
        <f t="shared" si="30"/>
        <v>3.8005108086796522</v>
      </c>
      <c r="V27" s="446">
        <f t="shared" si="14"/>
        <v>864.16548899999998</v>
      </c>
      <c r="W27" s="447">
        <f t="shared" si="14"/>
        <v>0</v>
      </c>
      <c r="X27" s="447">
        <f t="shared" si="31"/>
        <v>3.8005108086796531</v>
      </c>
      <c r="Y27" s="447">
        <f t="shared" si="42"/>
        <v>328.42702814324377</v>
      </c>
      <c r="Z27" s="447">
        <f t="shared" si="15"/>
        <v>328.42702814324377</v>
      </c>
      <c r="AA27" s="447">
        <f t="shared" si="16"/>
        <v>3.8005108086796531</v>
      </c>
      <c r="AC27" s="448">
        <f t="shared" si="17"/>
        <v>0</v>
      </c>
      <c r="AE27">
        <f t="shared" si="39"/>
        <v>880.48</v>
      </c>
      <c r="AF27" s="448">
        <f>'[13]FY 20'!C27</f>
        <v>880.48</v>
      </c>
      <c r="AG27" s="448">
        <f>'[13]FY 20'!E27</f>
        <v>3.85</v>
      </c>
      <c r="AH27" s="448">
        <f t="shared" si="40"/>
        <v>3.9655</v>
      </c>
      <c r="AI27" s="448">
        <f t="shared" si="32"/>
        <v>-0.11549999999999994</v>
      </c>
      <c r="AN27">
        <f>D27/C27*10</f>
        <v>0</v>
      </c>
    </row>
    <row r="28" spans="1:42" ht="47.25" x14ac:dyDescent="0.2">
      <c r="A28" s="974" t="s">
        <v>994</v>
      </c>
      <c r="B28" s="975">
        <v>48.7226</v>
      </c>
      <c r="C28" s="976">
        <v>310.5</v>
      </c>
      <c r="D28" s="976"/>
      <c r="E28" s="976">
        <f t="shared" ref="E28:E33" si="43">AH28</f>
        <v>4.3260000000000005</v>
      </c>
      <c r="F28" s="976">
        <f t="shared" si="23"/>
        <v>134.32230000000001</v>
      </c>
      <c r="G28" s="977">
        <f t="shared" si="24"/>
        <v>134.32230000000001</v>
      </c>
      <c r="H28" s="998">
        <f t="shared" si="25"/>
        <v>4.3260000000000005</v>
      </c>
      <c r="I28" s="446">
        <f>'[12]Actuals apprd'!$F$58</f>
        <v>314.53111283600197</v>
      </c>
      <c r="J28" s="445"/>
      <c r="K28" s="446">
        <f t="shared" si="26"/>
        <v>4.6768394217534848</v>
      </c>
      <c r="L28" s="446">
        <f>'[12]Actuals apprd'!$K$58</f>
        <v>147.10115078794075</v>
      </c>
      <c r="M28" s="446">
        <f t="shared" si="27"/>
        <v>147.10115078794075</v>
      </c>
      <c r="N28" s="446">
        <f t="shared" si="28"/>
        <v>4.6768394217534848</v>
      </c>
      <c r="O28" s="978">
        <f>875.06-(875.06*0.97%)</f>
        <v>866.57191799999998</v>
      </c>
      <c r="P28" s="446">
        <f t="shared" si="29"/>
        <v>552.04080516399802</v>
      </c>
      <c r="Q28" s="446"/>
      <c r="R28" s="446"/>
      <c r="S28" s="446"/>
      <c r="T28" s="446">
        <f>P28*N28/10</f>
        <v>258.18062000075207</v>
      </c>
      <c r="U28" s="446">
        <f t="shared" si="30"/>
        <v>4.6768394217534848</v>
      </c>
      <c r="V28" s="446">
        <f t="shared" si="14"/>
        <v>866.57191799999998</v>
      </c>
      <c r="W28" s="447">
        <f t="shared" si="14"/>
        <v>0</v>
      </c>
      <c r="X28" s="447">
        <f t="shared" si="31"/>
        <v>4.6768394217534848</v>
      </c>
      <c r="Y28" s="447">
        <f>M28+T28</f>
        <v>405.28177078869282</v>
      </c>
      <c r="Z28" s="447">
        <f t="shared" si="15"/>
        <v>405.28177078869282</v>
      </c>
      <c r="AA28" s="447">
        <f t="shared" si="16"/>
        <v>4.6768394217534848</v>
      </c>
      <c r="AC28" s="448">
        <f t="shared" si="17"/>
        <v>0</v>
      </c>
      <c r="AE28">
        <f t="shared" si="39"/>
        <v>469.56</v>
      </c>
      <c r="AF28" s="448">
        <f>'[13]FY 20'!C29</f>
        <v>469.56</v>
      </c>
      <c r="AG28" s="448">
        <f>'[13]FY 20'!E29</f>
        <v>4.2</v>
      </c>
      <c r="AH28" s="448">
        <f t="shared" si="40"/>
        <v>4.3260000000000005</v>
      </c>
      <c r="AI28" s="448">
        <f t="shared" si="32"/>
        <v>-0.12600000000000033</v>
      </c>
      <c r="AN28">
        <f>D28/C28*10</f>
        <v>0</v>
      </c>
    </row>
    <row r="29" spans="1:42" ht="47.25" x14ac:dyDescent="0.2">
      <c r="A29" s="988" t="s">
        <v>995</v>
      </c>
      <c r="B29" s="975">
        <v>48.7226</v>
      </c>
      <c r="C29" s="976">
        <v>550.4</v>
      </c>
      <c r="D29" s="976"/>
      <c r="E29" s="976">
        <f t="shared" si="43"/>
        <v>4.3260000000000005</v>
      </c>
      <c r="F29" s="976">
        <f t="shared" si="23"/>
        <v>238.10304000000002</v>
      </c>
      <c r="G29" s="977">
        <f t="shared" si="24"/>
        <v>238.10304000000002</v>
      </c>
      <c r="H29" s="998">
        <f t="shared" si="25"/>
        <v>4.3260000000000005</v>
      </c>
      <c r="I29" s="445"/>
      <c r="J29" s="445"/>
      <c r="K29" s="446"/>
      <c r="L29" s="445"/>
      <c r="M29" s="446">
        <f t="shared" si="27"/>
        <v>0</v>
      </c>
      <c r="N29" s="446"/>
      <c r="O29" s="978"/>
      <c r="P29" s="446">
        <f t="shared" si="29"/>
        <v>0</v>
      </c>
      <c r="Q29" s="446"/>
      <c r="R29" s="446"/>
      <c r="S29" s="446"/>
      <c r="T29" s="446"/>
      <c r="U29" s="446"/>
      <c r="V29" s="446">
        <f t="shared" si="14"/>
        <v>0</v>
      </c>
      <c r="W29" s="447">
        <f t="shared" si="14"/>
        <v>0</v>
      </c>
      <c r="X29" s="447"/>
      <c r="Y29" s="447">
        <f>L29+S29</f>
        <v>0</v>
      </c>
      <c r="Z29" s="447">
        <f t="shared" si="15"/>
        <v>0</v>
      </c>
      <c r="AA29" s="447"/>
      <c r="AC29" s="448">
        <f t="shared" si="17"/>
        <v>0</v>
      </c>
      <c r="AE29">
        <f t="shared" si="39"/>
        <v>620.22</v>
      </c>
      <c r="AF29" s="448">
        <f>'[13]FY 20'!C30</f>
        <v>620.22</v>
      </c>
      <c r="AG29" s="448">
        <f>'[13]FY 20'!E30</f>
        <v>4.2</v>
      </c>
      <c r="AH29" s="448">
        <f t="shared" si="40"/>
        <v>4.3260000000000005</v>
      </c>
      <c r="AI29" s="448">
        <f t="shared" si="32"/>
        <v>-0.12600000000000033</v>
      </c>
      <c r="AN29">
        <f>D29/C29*10</f>
        <v>0</v>
      </c>
    </row>
    <row r="30" spans="1:42" ht="15.75" x14ac:dyDescent="0.2">
      <c r="A30" s="974" t="s">
        <v>1044</v>
      </c>
      <c r="B30" s="975">
        <v>48.7226</v>
      </c>
      <c r="C30" s="976">
        <v>725.58</v>
      </c>
      <c r="D30" s="976">
        <f>C30*1.44/10</f>
        <v>104.48352</v>
      </c>
      <c r="E30" s="976">
        <f t="shared" si="43"/>
        <v>2.4925999999999999</v>
      </c>
      <c r="F30" s="976">
        <f t="shared" si="23"/>
        <v>180.85807080000001</v>
      </c>
      <c r="G30" s="977">
        <f t="shared" si="24"/>
        <v>285.34159080000001</v>
      </c>
      <c r="H30" s="998">
        <f t="shared" si="25"/>
        <v>3.9325999999999999</v>
      </c>
      <c r="I30" s="989">
        <f>'[12]Actuals apprd'!$F$62</f>
        <v>628.57473545572202</v>
      </c>
      <c r="J30" s="446">
        <f>'[12]Actuals apprd'!$G$62</f>
        <v>104.970311</v>
      </c>
      <c r="K30" s="446">
        <f t="shared" si="26"/>
        <v>2.2215222729045947</v>
      </c>
      <c r="L30" s="446">
        <f>'[12]Actuals apprd'!$H$62</f>
        <v>139.63927749999999</v>
      </c>
      <c r="M30" s="446">
        <f t="shared" si="27"/>
        <v>244.60958849999997</v>
      </c>
      <c r="N30" s="446">
        <f t="shared" si="28"/>
        <v>3.8914957077085823</v>
      </c>
      <c r="O30" s="978">
        <f>(C30+C31)-(1595.91*0.97%)</f>
        <v>1620.0696730000002</v>
      </c>
      <c r="P30" s="446">
        <f t="shared" si="29"/>
        <v>991.49493754427817</v>
      </c>
      <c r="Q30" s="446">
        <v>104.97</v>
      </c>
      <c r="R30" s="446"/>
      <c r="S30" s="446">
        <f>P30*K30/10</f>
        <v>220.2628087226764</v>
      </c>
      <c r="T30" s="446">
        <f>Q30+S30</f>
        <v>325.2328087226764</v>
      </c>
      <c r="U30" s="446">
        <f t="shared" si="30"/>
        <v>3.2802266194944858</v>
      </c>
      <c r="V30" s="446">
        <f t="shared" si="14"/>
        <v>1620.0696730000002</v>
      </c>
      <c r="W30" s="447">
        <f t="shared" si="14"/>
        <v>209.94031100000001</v>
      </c>
      <c r="X30" s="447">
        <f t="shared" si="31"/>
        <v>2.2215222729045951</v>
      </c>
      <c r="Y30" s="447">
        <f>L30+S30</f>
        <v>359.90208622267642</v>
      </c>
      <c r="Z30" s="447">
        <f t="shared" si="15"/>
        <v>569.84239722267648</v>
      </c>
      <c r="AA30" s="447">
        <f t="shared" si="16"/>
        <v>3.5173943856837839</v>
      </c>
      <c r="AC30" s="448">
        <f t="shared" si="17"/>
        <v>0</v>
      </c>
      <c r="AE30">
        <f t="shared" si="39"/>
        <v>725.58</v>
      </c>
      <c r="AF30" s="448">
        <f>'[13]FY 20'!C31</f>
        <v>725.58</v>
      </c>
      <c r="AG30" s="448">
        <f>'[13]FY 20'!E31</f>
        <v>2.42</v>
      </c>
      <c r="AH30" s="448">
        <f t="shared" si="40"/>
        <v>2.4925999999999999</v>
      </c>
      <c r="AI30" s="448">
        <f t="shared" si="32"/>
        <v>-7.2599999999999998E-2</v>
      </c>
      <c r="AN30">
        <v>1.44</v>
      </c>
      <c r="AO30">
        <f>AP30-AN30</f>
        <v>2.42</v>
      </c>
      <c r="AP30">
        <v>3.86</v>
      </c>
    </row>
    <row r="31" spans="1:42" ht="15.75" x14ac:dyDescent="0.2">
      <c r="A31" s="974" t="s">
        <v>1045</v>
      </c>
      <c r="B31" s="975">
        <v>48.7226</v>
      </c>
      <c r="C31" s="976">
        <v>909.97</v>
      </c>
      <c r="D31" s="976">
        <f>C31*1.64/10</f>
        <v>149.23507999999998</v>
      </c>
      <c r="E31" s="976">
        <f t="shared" si="43"/>
        <v>2.2557</v>
      </c>
      <c r="F31" s="976">
        <f t="shared" si="23"/>
        <v>205.26193290000001</v>
      </c>
      <c r="G31" s="977">
        <f t="shared" si="24"/>
        <v>354.49701289999996</v>
      </c>
      <c r="H31" s="998">
        <f t="shared" si="25"/>
        <v>3.8956999999999993</v>
      </c>
      <c r="I31" s="991"/>
      <c r="J31" s="445"/>
      <c r="K31" s="446"/>
      <c r="L31" s="445"/>
      <c r="M31" s="446">
        <f t="shared" si="27"/>
        <v>0</v>
      </c>
      <c r="N31" s="446"/>
      <c r="O31" s="978"/>
      <c r="P31" s="446"/>
      <c r="Q31" s="446"/>
      <c r="R31" s="446"/>
      <c r="S31" s="446"/>
      <c r="T31" s="446"/>
      <c r="U31" s="446"/>
      <c r="V31" s="446">
        <f t="shared" si="14"/>
        <v>0</v>
      </c>
      <c r="W31" s="447">
        <f t="shared" si="14"/>
        <v>0</v>
      </c>
      <c r="X31" s="447"/>
      <c r="Y31" s="447">
        <f>L31+S31</f>
        <v>0</v>
      </c>
      <c r="Z31" s="447">
        <f t="shared" si="15"/>
        <v>0</v>
      </c>
      <c r="AA31" s="447"/>
      <c r="AC31" s="448">
        <f t="shared" si="17"/>
        <v>0</v>
      </c>
      <c r="AE31">
        <f t="shared" si="39"/>
        <v>909.97</v>
      </c>
      <c r="AF31" s="448">
        <f>'[13]FY 20'!C32</f>
        <v>909.97</v>
      </c>
      <c r="AG31" s="448">
        <f>'[13]FY 20'!E32</f>
        <v>2.19</v>
      </c>
      <c r="AH31" s="448">
        <f t="shared" si="40"/>
        <v>2.2557</v>
      </c>
      <c r="AI31" s="448">
        <f t="shared" si="32"/>
        <v>-6.5700000000000092E-2</v>
      </c>
      <c r="AN31">
        <v>1.67</v>
      </c>
      <c r="AO31">
        <f>AP31-AN31</f>
        <v>2.19</v>
      </c>
      <c r="AP31">
        <v>3.86</v>
      </c>
    </row>
    <row r="32" spans="1:42" ht="15.75" x14ac:dyDescent="0.2">
      <c r="A32" s="974" t="s">
        <v>1046</v>
      </c>
      <c r="B32" s="975"/>
      <c r="C32" s="976">
        <v>233</v>
      </c>
      <c r="D32" s="976"/>
      <c r="E32" s="976">
        <f t="shared" si="43"/>
        <v>4.1612</v>
      </c>
      <c r="F32" s="976">
        <f t="shared" si="23"/>
        <v>96.955960000000005</v>
      </c>
      <c r="G32" s="977">
        <f t="shared" si="24"/>
        <v>96.955960000000005</v>
      </c>
      <c r="H32" s="998">
        <f t="shared" si="25"/>
        <v>4.1612000000000009</v>
      </c>
      <c r="I32" s="446"/>
      <c r="J32" s="446"/>
      <c r="K32" s="446"/>
      <c r="L32" s="446"/>
      <c r="M32" s="446"/>
      <c r="N32" s="446"/>
      <c r="O32" s="978"/>
      <c r="P32" s="446"/>
      <c r="Q32" s="446"/>
      <c r="R32" s="446"/>
      <c r="S32" s="446"/>
      <c r="T32" s="446"/>
      <c r="U32" s="446"/>
      <c r="V32" s="446"/>
      <c r="W32" s="447"/>
      <c r="X32" s="447"/>
      <c r="Y32" s="447"/>
      <c r="Z32" s="447"/>
      <c r="AA32" s="447"/>
      <c r="AC32" s="448"/>
      <c r="AE32">
        <f t="shared" si="39"/>
        <v>233</v>
      </c>
      <c r="AF32" s="448">
        <f>'[13]FY 20'!C34</f>
        <v>233</v>
      </c>
      <c r="AG32" s="448">
        <f>'[13]FY 20'!E34</f>
        <v>4.04</v>
      </c>
      <c r="AH32" s="448">
        <f t="shared" si="40"/>
        <v>4.1612</v>
      </c>
      <c r="AI32" s="448">
        <f t="shared" si="32"/>
        <v>-0.12119999999999997</v>
      </c>
    </row>
    <row r="33" spans="1:43" ht="15.75" x14ac:dyDescent="0.2">
      <c r="A33" s="974" t="s">
        <v>1047</v>
      </c>
      <c r="B33" s="975"/>
      <c r="C33" s="976">
        <f>960-90</f>
        <v>870</v>
      </c>
      <c r="D33" s="976"/>
      <c r="E33" s="976">
        <f t="shared" si="43"/>
        <v>3.0488</v>
      </c>
      <c r="F33" s="976">
        <f t="shared" si="23"/>
        <v>265.24560000000002</v>
      </c>
      <c r="G33" s="977">
        <f t="shared" si="24"/>
        <v>265.24560000000002</v>
      </c>
      <c r="H33" s="998">
        <f t="shared" si="25"/>
        <v>3.0488000000000004</v>
      </c>
      <c r="I33" s="446"/>
      <c r="J33" s="446"/>
      <c r="K33" s="446"/>
      <c r="L33" s="446"/>
      <c r="M33" s="446"/>
      <c r="N33" s="446"/>
      <c r="O33" s="978"/>
      <c r="P33" s="446"/>
      <c r="Q33" s="446"/>
      <c r="R33" s="446"/>
      <c r="S33" s="446"/>
      <c r="T33" s="446"/>
      <c r="U33" s="446"/>
      <c r="V33" s="446"/>
      <c r="W33" s="447"/>
      <c r="X33" s="447"/>
      <c r="Y33" s="447"/>
      <c r="Z33" s="447"/>
      <c r="AA33" s="447"/>
      <c r="AC33" s="448"/>
      <c r="AE33">
        <f t="shared" si="39"/>
        <v>870</v>
      </c>
      <c r="AF33" s="448">
        <f>'[13]FY 20'!C35</f>
        <v>870</v>
      </c>
      <c r="AG33" s="448">
        <f>'[13]FY 20'!E35</f>
        <v>2.96</v>
      </c>
      <c r="AH33" s="448">
        <f t="shared" si="40"/>
        <v>3.0488</v>
      </c>
      <c r="AI33" s="448">
        <f t="shared" si="32"/>
        <v>-8.879999999999999E-2</v>
      </c>
    </row>
    <row r="34" spans="1:43" ht="15.75" x14ac:dyDescent="0.2">
      <c r="A34" s="974" t="s">
        <v>998</v>
      </c>
      <c r="B34" s="975"/>
      <c r="C34" s="976">
        <v>870</v>
      </c>
      <c r="D34" s="976"/>
      <c r="E34" s="976"/>
      <c r="F34" s="976">
        <f t="shared" si="23"/>
        <v>0</v>
      </c>
      <c r="G34" s="977">
        <f t="shared" si="24"/>
        <v>0</v>
      </c>
      <c r="H34" s="998"/>
      <c r="I34" s="446">
        <f>'[12]Actuals apprd'!$F$103</f>
        <v>-39.512526036248197</v>
      </c>
      <c r="J34" s="446"/>
      <c r="K34" s="446"/>
      <c r="L34" s="446"/>
      <c r="M34" s="446">
        <f>'[12]Actuals apprd'!$N$103</f>
        <v>-7.4140898999999996</v>
      </c>
      <c r="N34" s="446">
        <f t="shared" si="28"/>
        <v>1.8763897537703422</v>
      </c>
      <c r="O34" s="978"/>
      <c r="P34" s="446">
        <v>95.51</v>
      </c>
      <c r="Q34" s="446"/>
      <c r="R34" s="446"/>
      <c r="S34" s="446"/>
      <c r="T34" s="446">
        <f>P34*3.05/10</f>
        <v>29.130549999999999</v>
      </c>
      <c r="U34" s="446">
        <f t="shared" si="30"/>
        <v>3.05</v>
      </c>
      <c r="V34" s="446">
        <f t="shared" si="14"/>
        <v>55.997473963751808</v>
      </c>
      <c r="W34" s="447">
        <f t="shared" si="14"/>
        <v>0</v>
      </c>
      <c r="X34" s="447"/>
      <c r="Y34" s="447">
        <f>T34+M34</f>
        <v>21.716460099999999</v>
      </c>
      <c r="Z34" s="447">
        <f t="shared" si="15"/>
        <v>21.716460099999999</v>
      </c>
      <c r="AA34" s="447">
        <f t="shared" si="16"/>
        <v>3.8781142367345822</v>
      </c>
      <c r="AC34" s="448">
        <f t="shared" si="17"/>
        <v>55.997473963751808</v>
      </c>
    </row>
    <row r="35" spans="1:43" ht="31.5" x14ac:dyDescent="0.2">
      <c r="A35" s="979" t="s">
        <v>999</v>
      </c>
      <c r="B35" s="980"/>
      <c r="C35" s="981">
        <f>SUM(C15:C33)</f>
        <v>13174.839999999998</v>
      </c>
      <c r="D35" s="981">
        <f>SUM(D15:D31)</f>
        <v>1368.1212639999999</v>
      </c>
      <c r="E35" s="981">
        <f>D35/C35*10</f>
        <v>1.0384348227378855</v>
      </c>
      <c r="F35" s="981">
        <f>SUM(F15:F33)</f>
        <v>4724.573848854001</v>
      </c>
      <c r="G35" s="982">
        <f>SUM(G15:G33)</f>
        <v>6092.6951128539995</v>
      </c>
      <c r="H35" s="983">
        <f>G35/C35*10</f>
        <v>4.6244926791171661</v>
      </c>
      <c r="I35" s="490">
        <f>SUM(I15:I34)</f>
        <v>3825.6713789047794</v>
      </c>
      <c r="J35" s="490">
        <f>SUM(J15:J31)</f>
        <v>398.59041005999995</v>
      </c>
      <c r="K35" s="490">
        <f t="shared" si="26"/>
        <v>2.8358664685810639</v>
      </c>
      <c r="L35" s="490">
        <f>SUM(L15:L31)</f>
        <v>1084.9093183246348</v>
      </c>
      <c r="M35" s="490">
        <f>SUM(M15:M34)</f>
        <v>1476.0856384846352</v>
      </c>
      <c r="N35" s="490">
        <f t="shared" si="28"/>
        <v>3.8583701847052314</v>
      </c>
      <c r="O35" s="992">
        <f>SUM(O15:O31)</f>
        <v>9112.2536440000003</v>
      </c>
      <c r="P35" s="490">
        <f>SUM(P15:P34)</f>
        <v>5342.5797390589732</v>
      </c>
      <c r="Q35" s="490">
        <f>SUM(Q15:Q31)</f>
        <v>398.59009905999994</v>
      </c>
      <c r="R35" s="490">
        <f>SUM(R15:R31)</f>
        <v>0</v>
      </c>
      <c r="S35" s="490">
        <f>SUM(S15:S31)</f>
        <v>1211.2911278597019</v>
      </c>
      <c r="T35" s="490">
        <f>SUM(T15:T34)</f>
        <v>1897.1923969204538</v>
      </c>
      <c r="U35" s="446">
        <f t="shared" si="30"/>
        <v>3.5510792343449795</v>
      </c>
      <c r="V35" s="490">
        <f t="shared" si="14"/>
        <v>9168.2511179637531</v>
      </c>
      <c r="W35" s="490">
        <f>SUM(W15:W34)</f>
        <v>797.1805091199999</v>
      </c>
      <c r="X35" s="447">
        <f t="shared" si="31"/>
        <v>2.8098025382808602</v>
      </c>
      <c r="Y35" s="490">
        <f>SUM(Y15:Y34)</f>
        <v>2576.0975262850884</v>
      </c>
      <c r="Z35" s="490">
        <f>SUM(Z15:Z34)</f>
        <v>3373.2780354050888</v>
      </c>
      <c r="AA35" s="985">
        <f t="shared" si="16"/>
        <v>3.6793037101652666</v>
      </c>
      <c r="AC35" s="448">
        <f t="shared" si="17"/>
        <v>55.997473963752782</v>
      </c>
    </row>
    <row r="36" spans="1:43" ht="15.75" x14ac:dyDescent="0.2">
      <c r="A36" s="974" t="s">
        <v>1000</v>
      </c>
      <c r="B36" s="986"/>
      <c r="C36" s="986"/>
      <c r="D36" s="986"/>
      <c r="E36" s="986"/>
      <c r="F36" s="986"/>
      <c r="G36" s="987"/>
      <c r="H36" s="999"/>
      <c r="I36" s="445"/>
      <c r="J36" s="445"/>
      <c r="K36" s="445"/>
      <c r="L36" s="445"/>
      <c r="M36" s="445"/>
      <c r="N36" s="445"/>
      <c r="O36" s="978"/>
      <c r="P36" s="446"/>
      <c r="Q36" s="446"/>
      <c r="R36" s="446"/>
      <c r="S36" s="446"/>
      <c r="T36" s="446"/>
      <c r="U36" s="446"/>
      <c r="V36" s="446"/>
      <c r="W36" s="447"/>
      <c r="X36" s="447"/>
      <c r="Y36" s="447"/>
      <c r="Z36" s="447"/>
      <c r="AA36" s="447"/>
      <c r="AC36" s="448">
        <f t="shared" si="17"/>
        <v>0</v>
      </c>
    </row>
    <row r="37" spans="1:43" ht="31.5" x14ac:dyDescent="0.2">
      <c r="A37" s="979" t="s">
        <v>1001</v>
      </c>
      <c r="B37" s="993">
        <v>65.284999999999997</v>
      </c>
      <c r="C37" s="1019">
        <f>AF37+50</f>
        <v>3264.6</v>
      </c>
      <c r="D37" s="1020">
        <v>782</v>
      </c>
      <c r="E37" s="1020">
        <f>AH37</f>
        <v>3.605</v>
      </c>
      <c r="F37" s="1019">
        <f>C37*E37/10</f>
        <v>1176.8883000000001</v>
      </c>
      <c r="G37" s="1021">
        <f>D37+F37</f>
        <v>1958.8883000000001</v>
      </c>
      <c r="H37" s="1022">
        <f>G37/C37*10</f>
        <v>6.0003930037370594</v>
      </c>
      <c r="I37" s="978">
        <f>'[12]Actuals apprd'!$F$66</f>
        <v>1429.645626640297</v>
      </c>
      <c r="J37" s="978">
        <f>'[12]Actuals apprd'!$G$66-100</f>
        <v>529.13353452594333</v>
      </c>
      <c r="K37" s="978">
        <f t="shared" si="26"/>
        <v>2.4909405830236322</v>
      </c>
      <c r="L37" s="978">
        <f>'[12]Actuals apprd'!$H$66+100</f>
        <v>356.11623107405671</v>
      </c>
      <c r="M37" s="978">
        <f t="shared" ref="M37:M50" si="44">J37+L37</f>
        <v>885.24976560000005</v>
      </c>
      <c r="N37" s="978">
        <f>M37/I37*10</f>
        <v>6.1920922856971146</v>
      </c>
      <c r="O37" s="978">
        <v>3729.65</v>
      </c>
      <c r="P37" s="978">
        <v>2300</v>
      </c>
      <c r="Q37" s="978">
        <v>612</v>
      </c>
      <c r="R37" s="978"/>
      <c r="S37" s="978">
        <f>P37*K37/10</f>
        <v>572.91633409543533</v>
      </c>
      <c r="T37" s="978">
        <f>Q37+S37</f>
        <v>1184.9163340954353</v>
      </c>
      <c r="U37" s="978">
        <f>T37/P37*10</f>
        <v>5.1518101482410223</v>
      </c>
      <c r="V37" s="978">
        <f t="shared" si="14"/>
        <v>3729.645626640297</v>
      </c>
      <c r="W37" s="1001">
        <f t="shared" si="14"/>
        <v>1141.1335345259433</v>
      </c>
      <c r="X37" s="1001"/>
      <c r="Y37" s="1001">
        <f>L37+S37</f>
        <v>929.03256516949205</v>
      </c>
      <c r="Z37" s="1001">
        <f t="shared" si="15"/>
        <v>2070.1660996954352</v>
      </c>
      <c r="AA37" s="1001">
        <f t="shared" si="16"/>
        <v>5.5505705016813138</v>
      </c>
      <c r="AB37" s="1002"/>
      <c r="AC37" s="1003">
        <f t="shared" si="17"/>
        <v>-4.3733597030950477E-3</v>
      </c>
      <c r="AD37" s="1002"/>
      <c r="AE37">
        <f>(AF37*5%)+AF37+35.42</f>
        <v>3410.75</v>
      </c>
      <c r="AF37" s="448">
        <f>'[13]FY 20'!C39</f>
        <v>3214.6</v>
      </c>
      <c r="AG37" s="448">
        <f>'[13]FY 20'!E39</f>
        <v>3.5</v>
      </c>
      <c r="AH37">
        <f>(AG37*3%)+AG37</f>
        <v>3.605</v>
      </c>
      <c r="AI37" s="448">
        <f t="shared" ref="AI37:AI50" si="45">AG37-AH37</f>
        <v>-0.10499999999999998</v>
      </c>
      <c r="AN37">
        <f>D37/C37*10</f>
        <v>2.3953930037370581</v>
      </c>
      <c r="AO37">
        <f>AP37-AN37</f>
        <v>3.256606996262942</v>
      </c>
      <c r="AP37">
        <v>5.6520000000000001</v>
      </c>
    </row>
    <row r="38" spans="1:43" ht="15.75" x14ac:dyDescent="0.2">
      <c r="A38" s="994" t="s">
        <v>1002</v>
      </c>
      <c r="B38" s="986"/>
      <c r="C38" s="986"/>
      <c r="D38" s="986"/>
      <c r="E38" s="986"/>
      <c r="F38" s="986"/>
      <c r="G38" s="987"/>
      <c r="H38" s="999"/>
      <c r="I38" s="445"/>
      <c r="J38" s="445"/>
      <c r="K38" s="445"/>
      <c r="L38" s="445"/>
      <c r="M38" s="445"/>
      <c r="N38" s="445"/>
      <c r="O38" s="978"/>
      <c r="P38" s="446"/>
      <c r="Q38" s="446"/>
      <c r="R38" s="446"/>
      <c r="S38" s="446"/>
      <c r="T38" s="446"/>
      <c r="U38" s="446"/>
      <c r="V38" s="446"/>
      <c r="W38" s="447"/>
      <c r="X38" s="447"/>
      <c r="Y38" s="447"/>
      <c r="Z38" s="447"/>
      <c r="AA38" s="447"/>
      <c r="AC38" s="448">
        <f t="shared" si="17"/>
        <v>0</v>
      </c>
      <c r="AF38" s="448"/>
      <c r="AG38" s="448"/>
    </row>
    <row r="39" spans="1:43" ht="31.5" x14ac:dyDescent="0.2">
      <c r="A39" s="988" t="s">
        <v>1003</v>
      </c>
      <c r="B39" s="975">
        <v>1.431</v>
      </c>
      <c r="C39" s="976">
        <f>ROUND(AE39,2)</f>
        <v>70.209999999999994</v>
      </c>
      <c r="D39" s="976">
        <v>0</v>
      </c>
      <c r="E39" s="976">
        <f>AH39</f>
        <v>0.46350000000000002</v>
      </c>
      <c r="F39" s="976">
        <f t="shared" ref="F39:F50" si="46">C39*E39/10</f>
        <v>3.2542335000000002</v>
      </c>
      <c r="G39" s="977">
        <f t="shared" ref="G39:G50" si="47">D39+F39</f>
        <v>3.2542335000000002</v>
      </c>
      <c r="H39" s="998">
        <f t="shared" ref="H39:H50" si="48">G39/C39*10</f>
        <v>0.46350000000000008</v>
      </c>
      <c r="I39" s="446">
        <f>'[12]Actuals apprd'!$F$8</f>
        <v>30.87656114</v>
      </c>
      <c r="J39" s="446"/>
      <c r="K39" s="490">
        <f t="shared" si="26"/>
        <v>0.43660925526565947</v>
      </c>
      <c r="L39" s="446">
        <f>'[12]Actuals apprd'!$N$8</f>
        <v>1.3480992364500002</v>
      </c>
      <c r="M39" s="446">
        <f t="shared" si="44"/>
        <v>1.3480992364500002</v>
      </c>
      <c r="N39" s="490">
        <f t="shared" ref="N39:N55" si="49">M39/I39*10</f>
        <v>0.43660925526565947</v>
      </c>
      <c r="O39" s="978">
        <f t="shared" ref="O39:O50" si="50">C39-(C39*0.97%)</f>
        <v>69.52896299999999</v>
      </c>
      <c r="P39" s="446">
        <f t="shared" ref="P39:P50" si="51">O39-I39</f>
        <v>38.652401859999991</v>
      </c>
      <c r="Q39" s="446"/>
      <c r="R39" s="446"/>
      <c r="S39" s="446"/>
      <c r="T39" s="446">
        <f t="shared" ref="T39:T50" si="52">P39*N39/10</f>
        <v>1.6875996390323587</v>
      </c>
      <c r="U39" s="446">
        <f t="shared" ref="U39:U75" si="53">T39/P39*10</f>
        <v>0.43660925526565947</v>
      </c>
      <c r="V39" s="446">
        <f t="shared" si="14"/>
        <v>69.52896299999999</v>
      </c>
      <c r="W39" s="447">
        <f t="shared" si="14"/>
        <v>0</v>
      </c>
      <c r="X39" s="447"/>
      <c r="Y39" s="447">
        <f>M39+T39</f>
        <v>3.0356988754823586</v>
      </c>
      <c r="Z39" s="447">
        <f t="shared" si="15"/>
        <v>3.0356988754823586</v>
      </c>
      <c r="AA39" s="447">
        <f t="shared" si="16"/>
        <v>0.43660925526565947</v>
      </c>
      <c r="AC39" s="448">
        <f t="shared" si="17"/>
        <v>0</v>
      </c>
      <c r="AE39">
        <f>(AF39*0%)+AF39</f>
        <v>70.209999999999994</v>
      </c>
      <c r="AF39" s="448">
        <f>'[13]FY 20'!C41</f>
        <v>70.209999999999994</v>
      </c>
      <c r="AG39" s="448">
        <f>'[13]FY 20'!E41</f>
        <v>0.45</v>
      </c>
      <c r="AH39">
        <f>(AG39*3%)+AG39</f>
        <v>0.46350000000000002</v>
      </c>
      <c r="AI39" s="448">
        <f t="shared" si="45"/>
        <v>-1.3500000000000012E-2</v>
      </c>
      <c r="AQ39" s="976">
        <v>70.209999999999994</v>
      </c>
    </row>
    <row r="40" spans="1:43" ht="47.25" x14ac:dyDescent="0.2">
      <c r="A40" s="988" t="s">
        <v>1004</v>
      </c>
      <c r="B40" s="975">
        <v>17.917000000000002</v>
      </c>
      <c r="C40" s="976">
        <f t="shared" ref="C40:C50" si="54">ROUND(AE40,2)</f>
        <v>37.869999999999997</v>
      </c>
      <c r="D40" s="976">
        <v>0</v>
      </c>
      <c r="E40" s="976">
        <f t="shared" ref="E40:E50" si="55">AH40</f>
        <v>1.6480000000000001</v>
      </c>
      <c r="F40" s="976">
        <f t="shared" si="46"/>
        <v>6.2409759999999999</v>
      </c>
      <c r="G40" s="977">
        <f t="shared" si="47"/>
        <v>6.2409759999999999</v>
      </c>
      <c r="H40" s="998">
        <f t="shared" si="48"/>
        <v>1.6480000000000001</v>
      </c>
      <c r="I40" s="446">
        <f>'[12]Actuals apprd'!$F$23</f>
        <v>19.140219163800001</v>
      </c>
      <c r="J40" s="445"/>
      <c r="K40" s="490">
        <f t="shared" si="26"/>
        <v>0.80680773999487132</v>
      </c>
      <c r="L40" s="446">
        <f>'[12]Actuals apprd'!$N$23</f>
        <v>1.5442476966552003</v>
      </c>
      <c r="M40" s="446">
        <f t="shared" si="44"/>
        <v>1.5442476966552003</v>
      </c>
      <c r="N40" s="490">
        <f t="shared" si="49"/>
        <v>0.80680773999487132</v>
      </c>
      <c r="O40" s="978">
        <f t="shared" si="50"/>
        <v>37.502660999999996</v>
      </c>
      <c r="P40" s="446">
        <f t="shared" si="51"/>
        <v>18.362441836199995</v>
      </c>
      <c r="Q40" s="446"/>
      <c r="R40" s="446"/>
      <c r="S40" s="446"/>
      <c r="T40" s="446">
        <f t="shared" si="52"/>
        <v>1.4814960198651792</v>
      </c>
      <c r="U40" s="446">
        <f t="shared" si="53"/>
        <v>0.80680773999487132</v>
      </c>
      <c r="V40" s="446">
        <f t="shared" si="14"/>
        <v>37.502660999999996</v>
      </c>
      <c r="W40" s="447">
        <f t="shared" si="14"/>
        <v>0</v>
      </c>
      <c r="X40" s="447"/>
      <c r="Y40" s="447">
        <f t="shared" ref="Y40:Y50" si="56">M40+T40</f>
        <v>3.0257437165203793</v>
      </c>
      <c r="Z40" s="447">
        <f t="shared" si="15"/>
        <v>3.0257437165203793</v>
      </c>
      <c r="AA40" s="447">
        <f t="shared" si="16"/>
        <v>0.80680773999487121</v>
      </c>
      <c r="AC40" s="448">
        <f t="shared" si="17"/>
        <v>0</v>
      </c>
      <c r="AE40">
        <f t="shared" ref="AE40:AE50" si="57">(AF40*0%)+AF40</f>
        <v>37.869999999999997</v>
      </c>
      <c r="AF40" s="448">
        <f>'[13]FY 20'!C42</f>
        <v>37.869999999999997</v>
      </c>
      <c r="AG40" s="448">
        <f>'[13]FY 20'!E42</f>
        <v>1.6</v>
      </c>
      <c r="AH40">
        <f t="shared" ref="AH40:AH50" si="58">(AG40*3%)+AG40</f>
        <v>1.6480000000000001</v>
      </c>
      <c r="AI40" s="448">
        <f t="shared" si="45"/>
        <v>-4.8000000000000043E-2</v>
      </c>
      <c r="AQ40" s="976">
        <v>37.869999999999997</v>
      </c>
    </row>
    <row r="41" spans="1:43" ht="31.5" x14ac:dyDescent="0.2">
      <c r="A41" s="974" t="s">
        <v>1005</v>
      </c>
      <c r="B41" s="975">
        <v>17.917000000000002</v>
      </c>
      <c r="C41" s="976">
        <f t="shared" si="54"/>
        <v>91.93</v>
      </c>
      <c r="D41" s="976">
        <v>0</v>
      </c>
      <c r="E41" s="976">
        <f t="shared" si="55"/>
        <v>1.6480000000000001</v>
      </c>
      <c r="F41" s="976">
        <f t="shared" si="46"/>
        <v>15.150064000000004</v>
      </c>
      <c r="G41" s="977">
        <f t="shared" si="47"/>
        <v>15.150064000000004</v>
      </c>
      <c r="H41" s="998">
        <f t="shared" si="48"/>
        <v>1.6480000000000004</v>
      </c>
      <c r="I41" s="446">
        <f>'[12]Actuals apprd'!$F$17</f>
        <v>47.628043429999927</v>
      </c>
      <c r="J41" s="445"/>
      <c r="K41" s="490">
        <f t="shared" si="26"/>
        <v>1.321645799518204</v>
      </c>
      <c r="L41" s="446">
        <f>'[12]Actuals apprd'!$N$17</f>
        <v>6.2947403538529993</v>
      </c>
      <c r="M41" s="446">
        <f t="shared" si="44"/>
        <v>6.2947403538529993</v>
      </c>
      <c r="N41" s="490">
        <f t="shared" si="49"/>
        <v>1.321645799518204</v>
      </c>
      <c r="O41" s="978">
        <f t="shared" si="50"/>
        <v>91.038279000000003</v>
      </c>
      <c r="P41" s="446">
        <f t="shared" si="51"/>
        <v>43.410235570000076</v>
      </c>
      <c r="Q41" s="446"/>
      <c r="R41" s="446"/>
      <c r="S41" s="446"/>
      <c r="T41" s="446">
        <f t="shared" si="52"/>
        <v>5.7372955497186329</v>
      </c>
      <c r="U41" s="446">
        <f t="shared" si="53"/>
        <v>1.321645799518204</v>
      </c>
      <c r="V41" s="446">
        <f t="shared" si="14"/>
        <v>91.038279000000003</v>
      </c>
      <c r="W41" s="447">
        <f t="shared" si="14"/>
        <v>0</v>
      </c>
      <c r="X41" s="447"/>
      <c r="Y41" s="447">
        <f t="shared" si="56"/>
        <v>12.032035903571632</v>
      </c>
      <c r="Z41" s="447">
        <f t="shared" si="15"/>
        <v>12.032035903571632</v>
      </c>
      <c r="AA41" s="447">
        <f t="shared" si="16"/>
        <v>1.321645799518204</v>
      </c>
      <c r="AC41" s="448">
        <f t="shared" si="17"/>
        <v>0</v>
      </c>
      <c r="AE41">
        <f t="shared" si="57"/>
        <v>91.93</v>
      </c>
      <c r="AF41" s="448">
        <f>'[13]FY 20'!C43</f>
        <v>91.93</v>
      </c>
      <c r="AG41" s="448">
        <f>'[13]FY 20'!E43</f>
        <v>1.6</v>
      </c>
      <c r="AH41">
        <f t="shared" si="58"/>
        <v>1.6480000000000001</v>
      </c>
      <c r="AI41" s="448">
        <f t="shared" si="45"/>
        <v>-4.8000000000000043E-2</v>
      </c>
      <c r="AQ41" s="976">
        <v>91.93</v>
      </c>
    </row>
    <row r="42" spans="1:43" ht="31.5" x14ac:dyDescent="0.2">
      <c r="A42" s="974" t="s">
        <v>1006</v>
      </c>
      <c r="B42" s="975">
        <v>2</v>
      </c>
      <c r="C42" s="976">
        <f t="shared" si="54"/>
        <v>62.6</v>
      </c>
      <c r="D42" s="976">
        <v>0</v>
      </c>
      <c r="E42" s="976">
        <f t="shared" si="55"/>
        <v>0.98880000000000001</v>
      </c>
      <c r="F42" s="976">
        <f t="shared" si="46"/>
        <v>6.1898880000000007</v>
      </c>
      <c r="G42" s="977">
        <f t="shared" si="47"/>
        <v>6.1898880000000007</v>
      </c>
      <c r="H42" s="998">
        <f t="shared" si="48"/>
        <v>0.98880000000000012</v>
      </c>
      <c r="I42" s="446">
        <f>'[12]Actuals apprd'!$F$10</f>
        <v>24.788260000000037</v>
      </c>
      <c r="J42" s="445"/>
      <c r="K42" s="490">
        <f t="shared" si="26"/>
        <v>0.76972243594346579</v>
      </c>
      <c r="L42" s="446">
        <f>'[12]Actuals apprd'!$N$10</f>
        <v>1.9080079870000004</v>
      </c>
      <c r="M42" s="446">
        <f t="shared" si="44"/>
        <v>1.9080079870000004</v>
      </c>
      <c r="N42" s="490">
        <f t="shared" si="49"/>
        <v>0.76972243594346579</v>
      </c>
      <c r="O42" s="978">
        <f t="shared" si="50"/>
        <v>61.992780000000003</v>
      </c>
      <c r="P42" s="446">
        <f t="shared" si="51"/>
        <v>37.204519999999967</v>
      </c>
      <c r="Q42" s="446"/>
      <c r="R42" s="446"/>
      <c r="S42" s="446"/>
      <c r="T42" s="446">
        <f t="shared" si="52"/>
        <v>2.8637153762507368</v>
      </c>
      <c r="U42" s="446">
        <f t="shared" si="53"/>
        <v>0.76972243594346579</v>
      </c>
      <c r="V42" s="446">
        <f t="shared" si="14"/>
        <v>61.992780000000003</v>
      </c>
      <c r="W42" s="447">
        <f t="shared" si="14"/>
        <v>0</v>
      </c>
      <c r="X42" s="447"/>
      <c r="Y42" s="447">
        <f t="shared" si="56"/>
        <v>4.7717233632507376</v>
      </c>
      <c r="Z42" s="447">
        <f t="shared" si="15"/>
        <v>4.7717233632507376</v>
      </c>
      <c r="AA42" s="447">
        <f t="shared" si="16"/>
        <v>0.76972243594346601</v>
      </c>
      <c r="AC42" s="448">
        <f t="shared" si="17"/>
        <v>0</v>
      </c>
      <c r="AE42">
        <f t="shared" si="57"/>
        <v>62.6</v>
      </c>
      <c r="AF42" s="448">
        <f>'[13]FY 20'!C44</f>
        <v>62.6</v>
      </c>
      <c r="AG42" s="448">
        <f>'[13]FY 20'!E44</f>
        <v>0.96</v>
      </c>
      <c r="AH42">
        <f t="shared" si="58"/>
        <v>0.98880000000000001</v>
      </c>
      <c r="AI42" s="448">
        <f t="shared" si="45"/>
        <v>-2.8800000000000048E-2</v>
      </c>
      <c r="AQ42" s="976">
        <v>62.6</v>
      </c>
    </row>
    <row r="43" spans="1:43" ht="31.5" x14ac:dyDescent="0.2">
      <c r="A43" s="974" t="s">
        <v>1007</v>
      </c>
      <c r="B43" s="975">
        <v>17.917000000000002</v>
      </c>
      <c r="C43" s="976">
        <f t="shared" si="54"/>
        <v>193.36</v>
      </c>
      <c r="D43" s="976">
        <v>0</v>
      </c>
      <c r="E43" s="976">
        <f t="shared" si="55"/>
        <v>1.3029499999999998</v>
      </c>
      <c r="F43" s="976">
        <f>C43*E43/10</f>
        <v>25.193841199999998</v>
      </c>
      <c r="G43" s="977">
        <f t="shared" si="47"/>
        <v>25.193841199999998</v>
      </c>
      <c r="H43" s="998">
        <f t="shared" si="48"/>
        <v>1.3029499999999996</v>
      </c>
      <c r="I43" s="446">
        <f>'[12]Actuals apprd'!$F$11</f>
        <v>115.40151923220004</v>
      </c>
      <c r="J43" s="445"/>
      <c r="K43" s="490">
        <f t="shared" si="26"/>
        <v>1.1588103255069662</v>
      </c>
      <c r="L43" s="446">
        <f>'[12]Actuals apprd'!$N$11+'[12]Actuals apprd'!$N$12</f>
        <v>13.372847206546414</v>
      </c>
      <c r="M43" s="446">
        <f t="shared" si="44"/>
        <v>13.372847206546414</v>
      </c>
      <c r="N43" s="490">
        <f t="shared" si="49"/>
        <v>1.1588103255069662</v>
      </c>
      <c r="O43" s="978">
        <f t="shared" si="50"/>
        <v>191.484408</v>
      </c>
      <c r="P43" s="446">
        <f t="shared" si="51"/>
        <v>76.082888767799957</v>
      </c>
      <c r="Q43" s="446"/>
      <c r="R43" s="446"/>
      <c r="S43" s="446"/>
      <c r="T43" s="446">
        <f t="shared" si="52"/>
        <v>8.8165637098524563</v>
      </c>
      <c r="U43" s="446">
        <f t="shared" si="53"/>
        <v>1.1588103255069662</v>
      </c>
      <c r="V43" s="446">
        <f t="shared" si="14"/>
        <v>191.484408</v>
      </c>
      <c r="W43" s="447">
        <f t="shared" si="14"/>
        <v>0</v>
      </c>
      <c r="X43" s="447"/>
      <c r="Y43" s="447">
        <f t="shared" si="56"/>
        <v>22.18941091639887</v>
      </c>
      <c r="Z43" s="447">
        <f t="shared" si="15"/>
        <v>22.18941091639887</v>
      </c>
      <c r="AA43" s="447">
        <f t="shared" si="16"/>
        <v>1.1588103255069662</v>
      </c>
      <c r="AC43" s="448">
        <f t="shared" si="17"/>
        <v>0</v>
      </c>
      <c r="AE43">
        <f t="shared" si="57"/>
        <v>193.36</v>
      </c>
      <c r="AF43" s="448">
        <f>'[13]FY 20'!C45</f>
        <v>193.36</v>
      </c>
      <c r="AG43" s="448">
        <f>'[13]FY 20'!E45</f>
        <v>1.2649999999999999</v>
      </c>
      <c r="AH43">
        <f t="shared" si="58"/>
        <v>1.3029499999999998</v>
      </c>
      <c r="AI43" s="448">
        <f t="shared" si="45"/>
        <v>-3.7949999999999928E-2</v>
      </c>
      <c r="AQ43" s="976">
        <v>193.36</v>
      </c>
    </row>
    <row r="44" spans="1:43" ht="31.5" x14ac:dyDescent="0.2">
      <c r="A44" s="974" t="s">
        <v>1008</v>
      </c>
      <c r="B44" s="975">
        <v>17.917000000000002</v>
      </c>
      <c r="C44" s="976">
        <f t="shared" si="54"/>
        <v>79.27</v>
      </c>
      <c r="D44" s="976">
        <v>0</v>
      </c>
      <c r="E44" s="976">
        <f t="shared" si="55"/>
        <v>1.2875000000000001</v>
      </c>
      <c r="F44" s="976">
        <f t="shared" si="46"/>
        <v>10.2060125</v>
      </c>
      <c r="G44" s="977">
        <f t="shared" si="47"/>
        <v>10.2060125</v>
      </c>
      <c r="H44" s="998">
        <f t="shared" si="48"/>
        <v>1.2875000000000001</v>
      </c>
      <c r="I44" s="446">
        <f>'[12]Actuals apprd'!$F$18</f>
        <v>60.515940202999964</v>
      </c>
      <c r="J44" s="445"/>
      <c r="K44" s="490">
        <f t="shared" si="26"/>
        <v>0.98086607724071129</v>
      </c>
      <c r="L44" s="446">
        <f>'[12]Actuals apprd'!$N$18</f>
        <v>5.9358032877450029</v>
      </c>
      <c r="M44" s="446">
        <f t="shared" si="44"/>
        <v>5.9358032877450029</v>
      </c>
      <c r="N44" s="490">
        <f t="shared" si="49"/>
        <v>0.98086607724071129</v>
      </c>
      <c r="O44" s="978">
        <f t="shared" si="50"/>
        <v>78.501080999999999</v>
      </c>
      <c r="P44" s="446">
        <f t="shared" si="51"/>
        <v>17.985140797000035</v>
      </c>
      <c r="Q44" s="446"/>
      <c r="R44" s="446"/>
      <c r="S44" s="446"/>
      <c r="T44" s="446">
        <f t="shared" si="52"/>
        <v>1.7641014502175305</v>
      </c>
      <c r="U44" s="446">
        <f t="shared" si="53"/>
        <v>0.98086607724071129</v>
      </c>
      <c r="V44" s="446">
        <f t="shared" si="14"/>
        <v>78.501080999999999</v>
      </c>
      <c r="W44" s="447">
        <f t="shared" si="14"/>
        <v>0</v>
      </c>
      <c r="X44" s="447"/>
      <c r="Y44" s="447">
        <f t="shared" si="56"/>
        <v>7.6999047379625338</v>
      </c>
      <c r="Z44" s="447">
        <f t="shared" si="15"/>
        <v>7.6999047379625338</v>
      </c>
      <c r="AA44" s="447">
        <f t="shared" si="16"/>
        <v>0.9808660772407114</v>
      </c>
      <c r="AC44" s="448">
        <f t="shared" si="17"/>
        <v>0</v>
      </c>
      <c r="AE44">
        <f t="shared" si="57"/>
        <v>79.27</v>
      </c>
      <c r="AF44" s="448">
        <f>'[13]FY 20'!C46</f>
        <v>79.27</v>
      </c>
      <c r="AG44" s="448">
        <f>'[13]FY 20'!E46</f>
        <v>1.25</v>
      </c>
      <c r="AH44">
        <f t="shared" si="58"/>
        <v>1.2875000000000001</v>
      </c>
      <c r="AI44" s="448">
        <f t="shared" si="45"/>
        <v>-3.7500000000000089E-2</v>
      </c>
      <c r="AQ44" s="976">
        <v>79.27</v>
      </c>
    </row>
    <row r="45" spans="1:43" ht="47.25" x14ac:dyDescent="0.2">
      <c r="A45" s="988" t="s">
        <v>1009</v>
      </c>
      <c r="B45" s="975">
        <v>17.917000000000002</v>
      </c>
      <c r="C45" s="976">
        <f t="shared" si="54"/>
        <v>8.6</v>
      </c>
      <c r="D45" s="976">
        <v>0</v>
      </c>
      <c r="E45" s="976">
        <f t="shared" si="55"/>
        <v>4.6967999999999996</v>
      </c>
      <c r="F45" s="976">
        <f t="shared" si="46"/>
        <v>4.0392479999999988</v>
      </c>
      <c r="G45" s="977">
        <f t="shared" si="47"/>
        <v>4.0392479999999988</v>
      </c>
      <c r="H45" s="998">
        <f t="shared" si="48"/>
        <v>4.6967999999999988</v>
      </c>
      <c r="I45" s="446">
        <f>'[12]Actuals apprd'!$F$9</f>
        <v>4.7509304017200007</v>
      </c>
      <c r="J45" s="445"/>
      <c r="K45" s="490">
        <f t="shared" si="26"/>
        <v>4.0613172540444777</v>
      </c>
      <c r="L45" s="446">
        <f>'[12]Actuals apprd'!$N$9</f>
        <v>1.9295035613269902</v>
      </c>
      <c r="M45" s="446">
        <f t="shared" si="44"/>
        <v>1.9295035613269902</v>
      </c>
      <c r="N45" s="490">
        <f t="shared" si="49"/>
        <v>4.0613172540444777</v>
      </c>
      <c r="O45" s="978">
        <f t="shared" si="50"/>
        <v>8.5165799999999994</v>
      </c>
      <c r="P45" s="446">
        <f t="shared" si="51"/>
        <v>3.7656495982799987</v>
      </c>
      <c r="Q45" s="446"/>
      <c r="R45" s="446"/>
      <c r="S45" s="446"/>
      <c r="T45" s="446">
        <f t="shared" si="52"/>
        <v>1.5293497686180215</v>
      </c>
      <c r="U45" s="446">
        <f t="shared" si="53"/>
        <v>4.0613172540444777</v>
      </c>
      <c r="V45" s="446">
        <f t="shared" si="14"/>
        <v>8.5165799999999994</v>
      </c>
      <c r="W45" s="447">
        <f t="shared" si="14"/>
        <v>0</v>
      </c>
      <c r="X45" s="447"/>
      <c r="Y45" s="447">
        <f t="shared" si="56"/>
        <v>3.4588533299450117</v>
      </c>
      <c r="Z45" s="447">
        <f t="shared" si="15"/>
        <v>3.4588533299450117</v>
      </c>
      <c r="AA45" s="447">
        <f t="shared" si="16"/>
        <v>4.0613172540444777</v>
      </c>
      <c r="AC45" s="448">
        <f t="shared" si="17"/>
        <v>0</v>
      </c>
      <c r="AE45">
        <f t="shared" si="57"/>
        <v>8.6</v>
      </c>
      <c r="AF45" s="448">
        <f>'[13]FY 20'!C47</f>
        <v>8.6</v>
      </c>
      <c r="AG45" s="448">
        <f>'[13]FY 20'!E47</f>
        <v>4.5599999999999996</v>
      </c>
      <c r="AH45">
        <f t="shared" si="58"/>
        <v>4.6967999999999996</v>
      </c>
      <c r="AI45" s="448">
        <f t="shared" si="45"/>
        <v>-0.13680000000000003</v>
      </c>
      <c r="AQ45" s="976">
        <v>8.6</v>
      </c>
    </row>
    <row r="46" spans="1:43" ht="31.5" x14ac:dyDescent="0.2">
      <c r="A46" s="974" t="s">
        <v>1010</v>
      </c>
      <c r="B46" s="975">
        <v>17.917000000000002</v>
      </c>
      <c r="C46" s="976">
        <f t="shared" si="54"/>
        <v>65.47</v>
      </c>
      <c r="D46" s="976">
        <v>0</v>
      </c>
      <c r="E46" s="976">
        <f t="shared" si="55"/>
        <v>1.8540000000000001</v>
      </c>
      <c r="F46" s="976">
        <f t="shared" si="46"/>
        <v>12.138138000000001</v>
      </c>
      <c r="G46" s="977">
        <f t="shared" si="47"/>
        <v>12.138138000000001</v>
      </c>
      <c r="H46" s="998">
        <f t="shared" si="48"/>
        <v>1.8540000000000003</v>
      </c>
      <c r="I46" s="446">
        <f>'[12]Actuals apprd'!$F$15</f>
        <v>40.531067635000014</v>
      </c>
      <c r="J46" s="445"/>
      <c r="K46" s="490">
        <f t="shared" si="26"/>
        <v>1.601840769874652</v>
      </c>
      <c r="L46" s="446">
        <f>'[12]Actuals apprd'!$N$15</f>
        <v>6.4924316584290009</v>
      </c>
      <c r="M46" s="446">
        <f t="shared" si="44"/>
        <v>6.4924316584290009</v>
      </c>
      <c r="N46" s="490">
        <f t="shared" si="49"/>
        <v>1.601840769874652</v>
      </c>
      <c r="O46" s="978">
        <f t="shared" si="50"/>
        <v>64.834941000000001</v>
      </c>
      <c r="P46" s="446">
        <f t="shared" si="51"/>
        <v>24.303873364999987</v>
      </c>
      <c r="Q46" s="446"/>
      <c r="R46" s="446"/>
      <c r="S46" s="446"/>
      <c r="T46" s="446">
        <f t="shared" si="52"/>
        <v>3.8930935221927627</v>
      </c>
      <c r="U46" s="446">
        <f t="shared" si="53"/>
        <v>1.601840769874652</v>
      </c>
      <c r="V46" s="446">
        <f t="shared" si="14"/>
        <v>64.834941000000001</v>
      </c>
      <c r="W46" s="447">
        <f t="shared" si="14"/>
        <v>0</v>
      </c>
      <c r="X46" s="447"/>
      <c r="Y46" s="447">
        <f t="shared" si="56"/>
        <v>10.385525180621764</v>
      </c>
      <c r="Z46" s="447">
        <f t="shared" si="15"/>
        <v>10.385525180621764</v>
      </c>
      <c r="AA46" s="447">
        <f t="shared" si="16"/>
        <v>1.601840769874652</v>
      </c>
      <c r="AC46" s="448">
        <f t="shared" si="17"/>
        <v>0</v>
      </c>
      <c r="AE46">
        <f t="shared" si="57"/>
        <v>65.47</v>
      </c>
      <c r="AF46" s="448">
        <f>'[13]FY 20'!C48</f>
        <v>65.47</v>
      </c>
      <c r="AG46" s="448">
        <f>'[13]FY 20'!E48</f>
        <v>1.8</v>
      </c>
      <c r="AH46">
        <f t="shared" si="58"/>
        <v>1.8540000000000001</v>
      </c>
      <c r="AI46" s="448">
        <f t="shared" si="45"/>
        <v>-5.4000000000000048E-2</v>
      </c>
      <c r="AQ46" s="976">
        <v>65.47</v>
      </c>
    </row>
    <row r="47" spans="1:43" ht="31.5" x14ac:dyDescent="0.2">
      <c r="A47" s="974" t="s">
        <v>1011</v>
      </c>
      <c r="B47" s="975">
        <v>17.917000000000002</v>
      </c>
      <c r="C47" s="976">
        <f t="shared" si="54"/>
        <v>62.42</v>
      </c>
      <c r="D47" s="976">
        <v>0</v>
      </c>
      <c r="E47" s="976">
        <f t="shared" si="55"/>
        <v>1.5449999999999999</v>
      </c>
      <c r="F47" s="976">
        <f t="shared" si="46"/>
        <v>9.6438900000000007</v>
      </c>
      <c r="G47" s="977">
        <f t="shared" si="47"/>
        <v>9.6438900000000007</v>
      </c>
      <c r="H47" s="998">
        <f t="shared" si="48"/>
        <v>1.5449999999999999</v>
      </c>
      <c r="I47" s="446">
        <f>'[12]Actuals apprd'!$F$16</f>
        <v>29.322835752000003</v>
      </c>
      <c r="J47" s="445"/>
      <c r="K47" s="490">
        <f t="shared" si="26"/>
        <v>1.3383728001187498</v>
      </c>
      <c r="L47" s="446">
        <f>'[12]Actuals apprd'!$N$16</f>
        <v>3.9244885792826429</v>
      </c>
      <c r="M47" s="446">
        <f t="shared" si="44"/>
        <v>3.9244885792826429</v>
      </c>
      <c r="N47" s="490">
        <f t="shared" si="49"/>
        <v>1.3383728001187498</v>
      </c>
      <c r="O47" s="978">
        <f t="shared" si="50"/>
        <v>61.814526000000001</v>
      </c>
      <c r="P47" s="446">
        <f t="shared" si="51"/>
        <v>32.491690247999998</v>
      </c>
      <c r="Q47" s="446"/>
      <c r="R47" s="446"/>
      <c r="S47" s="446"/>
      <c r="T47" s="446">
        <f t="shared" si="52"/>
        <v>4.3485994457806836</v>
      </c>
      <c r="U47" s="446">
        <f t="shared" si="53"/>
        <v>1.3383728001187498</v>
      </c>
      <c r="V47" s="446">
        <f t="shared" si="14"/>
        <v>61.814526000000001</v>
      </c>
      <c r="W47" s="447">
        <f t="shared" si="14"/>
        <v>0</v>
      </c>
      <c r="X47" s="447"/>
      <c r="Y47" s="447">
        <f t="shared" si="56"/>
        <v>8.273088025063327</v>
      </c>
      <c r="Z47" s="447">
        <f t="shared" si="15"/>
        <v>8.273088025063327</v>
      </c>
      <c r="AA47" s="447">
        <f t="shared" si="16"/>
        <v>1.3383728001187498</v>
      </c>
      <c r="AC47" s="448">
        <f t="shared" si="17"/>
        <v>0</v>
      </c>
      <c r="AE47">
        <f t="shared" si="57"/>
        <v>62.42</v>
      </c>
      <c r="AF47" s="448">
        <f>'[13]FY 20'!C49</f>
        <v>62.42</v>
      </c>
      <c r="AG47" s="448">
        <f>'[13]FY 20'!E49</f>
        <v>1.5</v>
      </c>
      <c r="AH47">
        <f t="shared" si="58"/>
        <v>1.5449999999999999</v>
      </c>
      <c r="AI47" s="448">
        <f t="shared" si="45"/>
        <v>-4.4999999999999929E-2</v>
      </c>
      <c r="AQ47" s="976">
        <v>62.42</v>
      </c>
    </row>
    <row r="48" spans="1:43" ht="47.25" x14ac:dyDescent="0.2">
      <c r="A48" s="988" t="s">
        <v>1012</v>
      </c>
      <c r="B48" s="975">
        <v>17.917000000000002</v>
      </c>
      <c r="C48" s="976">
        <f t="shared" si="54"/>
        <v>12.96</v>
      </c>
      <c r="D48" s="976">
        <v>0</v>
      </c>
      <c r="E48" s="976">
        <f t="shared" si="55"/>
        <v>1.8025</v>
      </c>
      <c r="F48" s="976">
        <f t="shared" si="46"/>
        <v>2.3360400000000001</v>
      </c>
      <c r="G48" s="977">
        <f t="shared" si="47"/>
        <v>2.3360400000000001</v>
      </c>
      <c r="H48" s="998">
        <f t="shared" si="48"/>
        <v>1.8025</v>
      </c>
      <c r="I48" s="446">
        <f>'[12]Actuals apprd'!$F$13</f>
        <v>6.3119881484600002</v>
      </c>
      <c r="J48" s="445"/>
      <c r="K48" s="490">
        <f t="shared" si="26"/>
        <v>1.7273220670354359</v>
      </c>
      <c r="L48" s="446">
        <f>'[12]Actuals apprd'!$N$13</f>
        <v>1.09028364157011</v>
      </c>
      <c r="M48" s="446">
        <f t="shared" si="44"/>
        <v>1.09028364157011</v>
      </c>
      <c r="N48" s="490">
        <f t="shared" si="49"/>
        <v>1.7273220670354359</v>
      </c>
      <c r="O48" s="978">
        <f t="shared" si="50"/>
        <v>12.834288000000001</v>
      </c>
      <c r="P48" s="446">
        <f t="shared" si="51"/>
        <v>6.5222998515400006</v>
      </c>
      <c r="Q48" s="446"/>
      <c r="R48" s="446"/>
      <c r="S48" s="446"/>
      <c r="T48" s="446">
        <f t="shared" si="52"/>
        <v>1.126611246138699</v>
      </c>
      <c r="U48" s="446">
        <f t="shared" si="53"/>
        <v>1.7273220670354359</v>
      </c>
      <c r="V48" s="446">
        <f t="shared" si="14"/>
        <v>12.834288000000001</v>
      </c>
      <c r="W48" s="447">
        <f t="shared" si="14"/>
        <v>0</v>
      </c>
      <c r="X48" s="447"/>
      <c r="Y48" s="447">
        <f t="shared" si="56"/>
        <v>2.216894887708809</v>
      </c>
      <c r="Z48" s="447">
        <f t="shared" si="15"/>
        <v>2.216894887708809</v>
      </c>
      <c r="AA48" s="447">
        <f t="shared" si="16"/>
        <v>1.7273220670354359</v>
      </c>
      <c r="AC48" s="448">
        <f t="shared" si="17"/>
        <v>0</v>
      </c>
      <c r="AE48">
        <f t="shared" si="57"/>
        <v>12.96</v>
      </c>
      <c r="AF48" s="448">
        <f>'[13]FY 20'!C50</f>
        <v>12.96</v>
      </c>
      <c r="AG48" s="448">
        <f>'[13]FY 20'!E50</f>
        <v>1.75</v>
      </c>
      <c r="AH48">
        <f t="shared" si="58"/>
        <v>1.8025</v>
      </c>
      <c r="AI48" s="448">
        <f t="shared" si="45"/>
        <v>-5.2499999999999991E-2</v>
      </c>
      <c r="AQ48" s="976">
        <v>12.96</v>
      </c>
    </row>
    <row r="49" spans="1:43" ht="47.25" x14ac:dyDescent="0.2">
      <c r="A49" s="974" t="s">
        <v>1013</v>
      </c>
      <c r="B49" s="975">
        <v>17.917000000000002</v>
      </c>
      <c r="C49" s="976">
        <f t="shared" si="54"/>
        <v>43.49</v>
      </c>
      <c r="D49" s="976">
        <v>0</v>
      </c>
      <c r="E49" s="976">
        <f t="shared" si="55"/>
        <v>1.3905000000000001</v>
      </c>
      <c r="F49" s="976">
        <f t="shared" si="46"/>
        <v>6.0472845000000008</v>
      </c>
      <c r="G49" s="977">
        <f t="shared" si="47"/>
        <v>6.0472845000000008</v>
      </c>
      <c r="H49" s="998">
        <f t="shared" si="48"/>
        <v>1.3905000000000001</v>
      </c>
      <c r="I49" s="446">
        <f>'[12]Actuals apprd'!$F$20+'[12]Actuals apprd'!$F$21</f>
        <v>27.081678553619994</v>
      </c>
      <c r="J49" s="445"/>
      <c r="K49" s="490">
        <f t="shared" si="26"/>
        <v>0.9298991685518464</v>
      </c>
      <c r="L49" s="446">
        <f>'[12]Actuals apprd'!$N$20</f>
        <v>2.5183230369999601</v>
      </c>
      <c r="M49" s="446">
        <f t="shared" si="44"/>
        <v>2.5183230369999601</v>
      </c>
      <c r="N49" s="490">
        <f t="shared" si="49"/>
        <v>0.9298991685518464</v>
      </c>
      <c r="O49" s="978">
        <f t="shared" si="50"/>
        <v>43.068147000000003</v>
      </c>
      <c r="P49" s="446">
        <f t="shared" si="51"/>
        <v>15.986468446380009</v>
      </c>
      <c r="Q49" s="446"/>
      <c r="R49" s="446"/>
      <c r="S49" s="446"/>
      <c r="T49" s="446">
        <f t="shared" si="52"/>
        <v>1.4865803716369097</v>
      </c>
      <c r="U49" s="446">
        <f t="shared" si="53"/>
        <v>0.9298991685518464</v>
      </c>
      <c r="V49" s="446">
        <f t="shared" si="14"/>
        <v>43.068147000000003</v>
      </c>
      <c r="W49" s="447">
        <f t="shared" si="14"/>
        <v>0</v>
      </c>
      <c r="X49" s="447"/>
      <c r="Y49" s="447">
        <f t="shared" si="56"/>
        <v>4.0049034086368698</v>
      </c>
      <c r="Z49" s="447">
        <f t="shared" si="15"/>
        <v>4.0049034086368698</v>
      </c>
      <c r="AA49" s="447">
        <f t="shared" si="16"/>
        <v>0.9298991685518464</v>
      </c>
      <c r="AC49" s="448">
        <f t="shared" si="17"/>
        <v>0</v>
      </c>
      <c r="AE49">
        <f t="shared" si="57"/>
        <v>43.49</v>
      </c>
      <c r="AF49" s="448">
        <f>'[13]FY 20'!C51</f>
        <v>43.49</v>
      </c>
      <c r="AG49" s="448">
        <f>'[13]FY 20'!E51</f>
        <v>1.35</v>
      </c>
      <c r="AH49">
        <f t="shared" si="58"/>
        <v>1.3905000000000001</v>
      </c>
      <c r="AI49" s="448">
        <f t="shared" si="45"/>
        <v>-4.049999999999998E-2</v>
      </c>
      <c r="AQ49" s="976">
        <v>43.49</v>
      </c>
    </row>
    <row r="50" spans="1:43" ht="31.5" x14ac:dyDescent="0.2">
      <c r="A50" s="974" t="s">
        <v>1014</v>
      </c>
      <c r="B50" s="975">
        <v>17.917000000000002</v>
      </c>
      <c r="C50" s="976">
        <f t="shared" si="54"/>
        <v>16.38</v>
      </c>
      <c r="D50" s="976">
        <v>0</v>
      </c>
      <c r="E50" s="976">
        <f t="shared" si="55"/>
        <v>1.0918000000000001</v>
      </c>
      <c r="F50" s="976">
        <f t="shared" si="46"/>
        <v>1.7883684000000002</v>
      </c>
      <c r="G50" s="977">
        <f t="shared" si="47"/>
        <v>1.7883684000000002</v>
      </c>
      <c r="H50" s="998">
        <f t="shared" si="48"/>
        <v>1.0918000000000001</v>
      </c>
      <c r="I50" s="446">
        <f>'[12]Actuals apprd'!$F$22</f>
        <v>9.4245940000000008</v>
      </c>
      <c r="J50" s="445"/>
      <c r="K50" s="490">
        <f t="shared" si="26"/>
        <v>0.6252657048155128</v>
      </c>
      <c r="L50" s="446">
        <f>'[12]Actuals apprd'!$N$22</f>
        <v>0.58928754100100533</v>
      </c>
      <c r="M50" s="446">
        <f t="shared" si="44"/>
        <v>0.58928754100100533</v>
      </c>
      <c r="N50" s="490">
        <f t="shared" si="49"/>
        <v>0.6252657048155128</v>
      </c>
      <c r="O50" s="978">
        <f t="shared" si="50"/>
        <v>16.221114</v>
      </c>
      <c r="P50" s="446">
        <f t="shared" si="51"/>
        <v>6.7965199999999992</v>
      </c>
      <c r="Q50" s="446"/>
      <c r="R50" s="446"/>
      <c r="S50" s="446"/>
      <c r="T50" s="446">
        <f t="shared" si="52"/>
        <v>0.42496308680927281</v>
      </c>
      <c r="U50" s="446">
        <f t="shared" si="53"/>
        <v>0.6252657048155128</v>
      </c>
      <c r="V50" s="446">
        <f t="shared" si="14"/>
        <v>16.221114</v>
      </c>
      <c r="W50" s="447">
        <f t="shared" si="14"/>
        <v>0</v>
      </c>
      <c r="X50" s="447"/>
      <c r="Y50" s="447">
        <f t="shared" si="56"/>
        <v>1.0142506278102781</v>
      </c>
      <c r="Z50" s="447">
        <f t="shared" si="15"/>
        <v>1.0142506278102781</v>
      </c>
      <c r="AA50" s="447">
        <f t="shared" si="16"/>
        <v>0.6252657048155128</v>
      </c>
      <c r="AC50" s="448">
        <f t="shared" si="17"/>
        <v>0</v>
      </c>
      <c r="AE50">
        <f t="shared" si="57"/>
        <v>16.38</v>
      </c>
      <c r="AF50" s="448">
        <f>'[13]FY 20'!C52</f>
        <v>16.38</v>
      </c>
      <c r="AG50" s="448">
        <f>'[13]FY 20'!E52</f>
        <v>1.06</v>
      </c>
      <c r="AH50">
        <f t="shared" si="58"/>
        <v>1.0918000000000001</v>
      </c>
      <c r="AI50" s="448">
        <f t="shared" si="45"/>
        <v>-3.180000000000005E-2</v>
      </c>
      <c r="AQ50" s="976">
        <v>16.38</v>
      </c>
    </row>
    <row r="51" spans="1:43" ht="15.75" x14ac:dyDescent="0.2">
      <c r="A51" s="979" t="s">
        <v>1015</v>
      </c>
      <c r="B51" s="980"/>
      <c r="C51" s="981">
        <f>SUM(C39:C50)</f>
        <v>744.56000000000006</v>
      </c>
      <c r="D51" s="981">
        <f>SUM(D39:D50)</f>
        <v>0</v>
      </c>
      <c r="E51" s="981">
        <f>F51/C51*10</f>
        <v>1.3729986045449658</v>
      </c>
      <c r="F51" s="981">
        <f>SUM(F39:F50)</f>
        <v>102.22798409999999</v>
      </c>
      <c r="G51" s="982">
        <f>SUM(G39:G50)</f>
        <v>102.22798409999999</v>
      </c>
      <c r="H51" s="981">
        <f>E51</f>
        <v>1.3729986045449658</v>
      </c>
      <c r="I51" s="983">
        <f>SUM(I39:I50)</f>
        <v>415.77363765979999</v>
      </c>
      <c r="J51" s="365"/>
      <c r="K51" s="365"/>
      <c r="L51" s="983">
        <f>SUM(L39:L50)</f>
        <v>46.948063786859329</v>
      </c>
      <c r="M51" s="983">
        <f>SUM(M39:M50)</f>
        <v>46.948063786859329</v>
      </c>
      <c r="N51" s="490">
        <f t="shared" si="49"/>
        <v>1.1291736544699791</v>
      </c>
      <c r="O51" s="984">
        <f>SUM(O39:O50)</f>
        <v>737.33776799999987</v>
      </c>
      <c r="P51" s="983">
        <f>SUM(P39:P50)</f>
        <v>321.56413034020005</v>
      </c>
      <c r="Q51" s="983">
        <f t="shared" ref="Q51:V51" si="59">SUM(Q39:Q50)</f>
        <v>0</v>
      </c>
      <c r="R51" s="983">
        <f t="shared" si="59"/>
        <v>0</v>
      </c>
      <c r="S51" s="983">
        <f t="shared" si="59"/>
        <v>0</v>
      </c>
      <c r="T51" s="983">
        <f t="shared" si="59"/>
        <v>35.159969186113244</v>
      </c>
      <c r="U51" s="446">
        <f t="shared" si="53"/>
        <v>1.0934045768387044</v>
      </c>
      <c r="V51" s="983">
        <f t="shared" si="59"/>
        <v>737.33776799999987</v>
      </c>
      <c r="W51" s="447">
        <f t="shared" si="14"/>
        <v>0</v>
      </c>
      <c r="X51" s="447"/>
      <c r="Y51" s="983">
        <f>SUM(Y39:Y50)</f>
        <v>82.10803297297258</v>
      </c>
      <c r="Z51" s="983">
        <f>SUM(Z39:Z50)</f>
        <v>82.10803297297258</v>
      </c>
      <c r="AA51" s="985">
        <f t="shared" si="16"/>
        <v>1.1135742198000713</v>
      </c>
      <c r="AC51" s="448">
        <f t="shared" si="17"/>
        <v>0</v>
      </c>
    </row>
    <row r="52" spans="1:43" ht="15.75" x14ac:dyDescent="0.2">
      <c r="A52" s="974" t="s">
        <v>1016</v>
      </c>
      <c r="B52" s="986"/>
      <c r="C52" s="986"/>
      <c r="D52" s="986"/>
      <c r="E52" s="986"/>
      <c r="F52" s="986"/>
      <c r="G52" s="987"/>
      <c r="H52" s="999"/>
      <c r="I52" s="445"/>
      <c r="J52" s="445"/>
      <c r="K52" s="445"/>
      <c r="L52" s="445"/>
      <c r="M52" s="445"/>
      <c r="N52" s="445"/>
      <c r="O52" s="978"/>
      <c r="P52" s="446"/>
      <c r="Q52" s="446"/>
      <c r="R52" s="446"/>
      <c r="S52" s="446"/>
      <c r="T52" s="446"/>
      <c r="U52" s="446"/>
      <c r="V52" s="446"/>
      <c r="W52" s="447"/>
      <c r="X52" s="447"/>
      <c r="Y52" s="447"/>
      <c r="Z52" s="447"/>
      <c r="AA52" s="447"/>
      <c r="AC52" s="448"/>
    </row>
    <row r="53" spans="1:43" ht="31.5" x14ac:dyDescent="0.2">
      <c r="A53" s="974" t="s">
        <v>1017</v>
      </c>
      <c r="B53" s="975">
        <v>17.917000000000002</v>
      </c>
      <c r="C53" s="976">
        <v>16.25</v>
      </c>
      <c r="D53" s="976">
        <v>0</v>
      </c>
      <c r="E53" s="976">
        <f>F53/C53*10</f>
        <v>6.4676923076923076</v>
      </c>
      <c r="F53" s="976">
        <v>10.51</v>
      </c>
      <c r="G53" s="977">
        <f>F53</f>
        <v>10.51</v>
      </c>
      <c r="H53" s="998">
        <f>G53/C53*10</f>
        <v>6.4676923076923076</v>
      </c>
      <c r="I53" s="446">
        <f>'[12]Actuals apprd'!$F$95</f>
        <v>11.289322370000002</v>
      </c>
      <c r="J53" s="445"/>
      <c r="K53" s="445"/>
      <c r="L53" s="446">
        <f>'[12]Actuals apprd'!$K$95</f>
        <v>5.2546080000000002</v>
      </c>
      <c r="M53" s="446">
        <f>J53+L53</f>
        <v>5.2546080000000002</v>
      </c>
      <c r="N53" s="490">
        <f t="shared" si="49"/>
        <v>4.654493713425599</v>
      </c>
      <c r="O53" s="978">
        <f>C53-(C53*0.97%)</f>
        <v>16.092375000000001</v>
      </c>
      <c r="P53" s="446">
        <f>O53-I53</f>
        <v>4.803052629999998</v>
      </c>
      <c r="Q53" s="446"/>
      <c r="R53" s="446"/>
      <c r="S53" s="446"/>
      <c r="T53" s="446">
        <f>P53*N53/10</f>
        <v>2.2355778271587279</v>
      </c>
      <c r="U53" s="446">
        <f t="shared" si="53"/>
        <v>4.654493713425599</v>
      </c>
      <c r="V53" s="446">
        <f t="shared" si="14"/>
        <v>16.092375000000001</v>
      </c>
      <c r="W53" s="447">
        <f t="shared" si="14"/>
        <v>0</v>
      </c>
      <c r="X53" s="447"/>
      <c r="Y53" s="447">
        <f>M53+T53</f>
        <v>7.4901858271587276</v>
      </c>
      <c r="Z53" s="447">
        <f t="shared" si="15"/>
        <v>7.4901858271587276</v>
      </c>
      <c r="AA53" s="447">
        <f t="shared" si="16"/>
        <v>4.654493713425599</v>
      </c>
      <c r="AC53" s="448">
        <f t="shared" si="17"/>
        <v>0</v>
      </c>
      <c r="AE53">
        <f>(AF53*6%)+AF53</f>
        <v>17.225000000000001</v>
      </c>
      <c r="AF53" s="448">
        <f>'[13]FY 20'!C55</f>
        <v>16.25</v>
      </c>
      <c r="AG53" s="448">
        <f>'[13]FY 20'!H55</f>
        <v>4.9723076923076928</v>
      </c>
      <c r="AH53">
        <f>(AG53*6%)+AG53</f>
        <v>5.2706461538461546</v>
      </c>
      <c r="AI53" s="448">
        <f>AG53-AH53</f>
        <v>-0.29833846153846189</v>
      </c>
    </row>
    <row r="54" spans="1:43" ht="31.5" x14ac:dyDescent="0.2">
      <c r="A54" s="974" t="s">
        <v>1018</v>
      </c>
      <c r="B54" s="975">
        <v>17.917000000000002</v>
      </c>
      <c r="C54" s="976">
        <v>3.2120000000000002</v>
      </c>
      <c r="D54" s="976">
        <v>0</v>
      </c>
      <c r="E54" s="976"/>
      <c r="F54" s="976">
        <v>0.28999999999999998</v>
      </c>
      <c r="G54" s="977">
        <f>F54</f>
        <v>0.28999999999999998</v>
      </c>
      <c r="H54" s="998">
        <f>G54/C54*10</f>
        <v>0.90286425902864242</v>
      </c>
      <c r="I54" s="446">
        <f>'[12]Actuals apprd'!$F$96</f>
        <v>3.1340201396000005</v>
      </c>
      <c r="J54" s="445"/>
      <c r="K54" s="445"/>
      <c r="L54" s="445"/>
      <c r="M54" s="445"/>
      <c r="N54" s="445"/>
      <c r="O54" s="978">
        <f>C54-(C54*0.97%)</f>
        <v>3.1808436000000002</v>
      </c>
      <c r="P54" s="446">
        <f>O54-I54</f>
        <v>4.6823460399999739E-2</v>
      </c>
      <c r="Q54" s="446"/>
      <c r="R54" s="446"/>
      <c r="S54" s="446"/>
      <c r="T54" s="446">
        <v>0.88</v>
      </c>
      <c r="U54" s="446">
        <f t="shared" si="53"/>
        <v>187.93997549143228</v>
      </c>
      <c r="V54" s="446">
        <f t="shared" si="14"/>
        <v>3.1808436000000002</v>
      </c>
      <c r="W54" s="447">
        <f t="shared" si="14"/>
        <v>0</v>
      </c>
      <c r="X54" s="447"/>
      <c r="Y54" s="447">
        <v>0.88</v>
      </c>
      <c r="Z54" s="447">
        <f t="shared" si="15"/>
        <v>0.88</v>
      </c>
      <c r="AA54" s="447">
        <f t="shared" si="16"/>
        <v>2.7665616756510758</v>
      </c>
      <c r="AC54" s="448">
        <f t="shared" si="17"/>
        <v>0</v>
      </c>
      <c r="AE54">
        <f>(AF54*6%)+AF54</f>
        <v>3.4026000000000001</v>
      </c>
      <c r="AF54" s="448">
        <f>'[13]FY 20'!C56</f>
        <v>3.21</v>
      </c>
      <c r="AG54" s="448">
        <f>'[13]FY 20'!H56</f>
        <v>2.7414330218068539</v>
      </c>
      <c r="AH54">
        <f>(AG54*6%)+AG54</f>
        <v>2.9059190031152653</v>
      </c>
      <c r="AI54" s="448">
        <f>AG54-AH54</f>
        <v>-0.16448598130841141</v>
      </c>
    </row>
    <row r="55" spans="1:43" ht="15.75" x14ac:dyDescent="0.2">
      <c r="A55" s="979" t="s">
        <v>1019</v>
      </c>
      <c r="B55" s="980"/>
      <c r="C55" s="981">
        <f>C53+C54</f>
        <v>19.462</v>
      </c>
      <c r="D55" s="981">
        <f>D53+D54</f>
        <v>0</v>
      </c>
      <c r="E55" s="980"/>
      <c r="F55" s="981">
        <f>F53+F54</f>
        <v>10.799999999999999</v>
      </c>
      <c r="G55" s="981">
        <f>G53+G54</f>
        <v>10.799999999999999</v>
      </c>
      <c r="H55" s="983">
        <v>3.77</v>
      </c>
      <c r="I55" s="983">
        <f>I53+I54</f>
        <v>14.423342509600003</v>
      </c>
      <c r="J55" s="445"/>
      <c r="K55" s="445"/>
      <c r="L55" s="983">
        <f>L53+L54</f>
        <v>5.2546080000000002</v>
      </c>
      <c r="M55" s="983">
        <f>M53+M54</f>
        <v>5.2546080000000002</v>
      </c>
      <c r="N55" s="490">
        <f t="shared" si="49"/>
        <v>3.6431277954486601</v>
      </c>
      <c r="O55" s="984">
        <f t="shared" ref="O55:T55" si="60">O53+O54</f>
        <v>19.2732186</v>
      </c>
      <c r="P55" s="983">
        <f t="shared" si="60"/>
        <v>4.8498760903999978</v>
      </c>
      <c r="Q55" s="983">
        <f t="shared" si="60"/>
        <v>0</v>
      </c>
      <c r="R55" s="983">
        <f t="shared" si="60"/>
        <v>0</v>
      </c>
      <c r="S55" s="983">
        <f t="shared" si="60"/>
        <v>0</v>
      </c>
      <c r="T55" s="983">
        <f t="shared" si="60"/>
        <v>3.1155778271587278</v>
      </c>
      <c r="U55" s="446">
        <f t="shared" si="53"/>
        <v>6.4240359322288745</v>
      </c>
      <c r="V55" s="490">
        <f t="shared" si="14"/>
        <v>19.2732186</v>
      </c>
      <c r="W55" s="985">
        <f t="shared" si="14"/>
        <v>0</v>
      </c>
      <c r="X55" s="985"/>
      <c r="Y55" s="985">
        <f>Y53+Y54</f>
        <v>8.3701858271587284</v>
      </c>
      <c r="Z55" s="985">
        <f t="shared" si="15"/>
        <v>8.3701858271587284</v>
      </c>
      <c r="AA55" s="985">
        <f t="shared" si="16"/>
        <v>4.3429102325227236</v>
      </c>
      <c r="AC55" s="448">
        <f t="shared" si="17"/>
        <v>0</v>
      </c>
    </row>
    <row r="56" spans="1:43" ht="31.5" x14ac:dyDescent="0.2">
      <c r="A56" s="974" t="s">
        <v>1020</v>
      </c>
      <c r="B56" s="986"/>
      <c r="C56" s="986"/>
      <c r="D56" s="976"/>
      <c r="E56" s="986"/>
      <c r="F56" s="976"/>
      <c r="G56" s="987"/>
      <c r="H56" s="999"/>
      <c r="I56" s="445"/>
      <c r="J56" s="445"/>
      <c r="K56" s="445"/>
      <c r="L56" s="445"/>
      <c r="M56" s="445"/>
      <c r="N56" s="445"/>
      <c r="O56" s="978"/>
      <c r="P56" s="446"/>
      <c r="Q56" s="446"/>
      <c r="R56" s="446"/>
      <c r="S56" s="446"/>
      <c r="T56" s="446"/>
      <c r="U56" s="446"/>
      <c r="V56" s="446"/>
      <c r="W56" s="447"/>
      <c r="X56" s="447"/>
      <c r="Y56" s="447"/>
      <c r="Z56" s="447"/>
      <c r="AA56" s="447"/>
      <c r="AC56" s="448">
        <f t="shared" si="17"/>
        <v>0</v>
      </c>
    </row>
    <row r="57" spans="1:43" ht="15.75" x14ac:dyDescent="0.2">
      <c r="A57" s="974" t="s">
        <v>1048</v>
      </c>
      <c r="B57" s="986"/>
      <c r="C57" s="986">
        <v>575</v>
      </c>
      <c r="D57" s="976"/>
      <c r="E57" s="986">
        <f>4.69+0.25</f>
        <v>4.9400000000000004</v>
      </c>
      <c r="F57" s="976">
        <f t="shared" ref="F57:F63" si="61">C57*E57/10</f>
        <v>284.05</v>
      </c>
      <c r="G57" s="977">
        <f>F57</f>
        <v>284.05</v>
      </c>
      <c r="H57" s="998">
        <f t="shared" ref="H57:H73" si="62">G57/C57*10</f>
        <v>4.9399999999999995</v>
      </c>
      <c r="I57" s="445"/>
      <c r="J57" s="445"/>
      <c r="K57" s="445"/>
      <c r="L57" s="445"/>
      <c r="M57" s="445"/>
      <c r="N57" s="445"/>
      <c r="O57" s="978"/>
      <c r="P57" s="446"/>
      <c r="Q57" s="446"/>
      <c r="R57" s="446"/>
      <c r="S57" s="446"/>
      <c r="T57" s="446"/>
      <c r="U57" s="446"/>
      <c r="V57" s="446"/>
      <c r="W57" s="447"/>
      <c r="X57" s="447"/>
      <c r="Y57" s="447"/>
      <c r="Z57" s="447"/>
      <c r="AA57" s="447"/>
      <c r="AC57" s="448"/>
    </row>
    <row r="58" spans="1:43" ht="15.75" x14ac:dyDescent="0.2">
      <c r="A58" s="974" t="s">
        <v>1021</v>
      </c>
      <c r="B58" s="986"/>
      <c r="C58" s="976">
        <v>2920</v>
      </c>
      <c r="D58" s="976">
        <v>0</v>
      </c>
      <c r="E58" s="976">
        <v>3.56</v>
      </c>
      <c r="F58" s="976">
        <f t="shared" si="61"/>
        <v>1039.52</v>
      </c>
      <c r="G58" s="977">
        <f>F58</f>
        <v>1039.52</v>
      </c>
      <c r="H58" s="998">
        <f t="shared" si="62"/>
        <v>3.5599999999999996</v>
      </c>
      <c r="I58" s="446">
        <f>'[12]Actuals apprd'!$F$76</f>
        <v>2072.9956006500001</v>
      </c>
      <c r="J58" s="445"/>
      <c r="K58" s="445"/>
      <c r="L58" s="446">
        <f>'[12]Actuals apprd'!$N$76</f>
        <v>738.50127506249999</v>
      </c>
      <c r="M58" s="446">
        <f t="shared" ref="M58:M72" si="63">J58+L58</f>
        <v>738.50127506249999</v>
      </c>
      <c r="N58" s="490">
        <f>M58/I58*10</f>
        <v>3.5624835616194197</v>
      </c>
      <c r="O58" s="978">
        <v>2501</v>
      </c>
      <c r="P58" s="446">
        <f>O58-I58</f>
        <v>428.00439934999986</v>
      </c>
      <c r="Q58" s="446"/>
      <c r="R58" s="446"/>
      <c r="S58" s="446"/>
      <c r="T58" s="446">
        <f>P58*N58/10</f>
        <v>152.47586369851678</v>
      </c>
      <c r="U58" s="446">
        <f t="shared" si="53"/>
        <v>3.5624835616194197</v>
      </c>
      <c r="V58" s="446">
        <f t="shared" si="14"/>
        <v>2501</v>
      </c>
      <c r="W58" s="447">
        <f t="shared" si="14"/>
        <v>0</v>
      </c>
      <c r="X58" s="447"/>
      <c r="Y58" s="447">
        <f>M58+T58</f>
        <v>890.9771387610167</v>
      </c>
      <c r="Z58" s="447">
        <f t="shared" si="15"/>
        <v>890.9771387610167</v>
      </c>
      <c r="AA58" s="447">
        <f t="shared" si="16"/>
        <v>3.5624835616194188</v>
      </c>
      <c r="AC58" s="448">
        <f t="shared" si="17"/>
        <v>0</v>
      </c>
    </row>
    <row r="59" spans="1:43" ht="15.75" x14ac:dyDescent="0.2">
      <c r="A59" s="974" t="s">
        <v>1022</v>
      </c>
      <c r="B59" s="986"/>
      <c r="C59" s="976">
        <v>6.92</v>
      </c>
      <c r="D59" s="976">
        <v>0</v>
      </c>
      <c r="E59" s="976">
        <v>3.49</v>
      </c>
      <c r="F59" s="976">
        <f t="shared" si="61"/>
        <v>2.4150800000000001</v>
      </c>
      <c r="G59" s="977">
        <f t="shared" ref="G59:G73" si="64">F59</f>
        <v>2.4150800000000001</v>
      </c>
      <c r="H59" s="998">
        <f t="shared" si="62"/>
        <v>3.49</v>
      </c>
      <c r="I59" s="446">
        <f>'[12]Actuals apprd'!$F$77</f>
        <v>3.1320299999999999</v>
      </c>
      <c r="J59" s="445"/>
      <c r="K59" s="445"/>
      <c r="L59" s="446">
        <f>'[12]Actuals apprd'!$N$77</f>
        <v>1.2055971999999999</v>
      </c>
      <c r="M59" s="446">
        <f t="shared" si="63"/>
        <v>1.2055971999999999</v>
      </c>
      <c r="N59" s="490">
        <f>M59/I59*10</f>
        <v>3.84925176323343</v>
      </c>
      <c r="O59" s="978">
        <f>C59-(C59*0.97%)</f>
        <v>6.8528760000000002</v>
      </c>
      <c r="P59" s="446">
        <f>O59-I59</f>
        <v>3.7208460000000003</v>
      </c>
      <c r="Q59" s="446"/>
      <c r="R59" s="446"/>
      <c r="S59" s="446"/>
      <c r="T59" s="446">
        <f>P59*N59/10</f>
        <v>1.4322473026220055</v>
      </c>
      <c r="U59" s="446">
        <f t="shared" si="53"/>
        <v>3.8492517632334295</v>
      </c>
      <c r="V59" s="446">
        <f t="shared" si="14"/>
        <v>6.8528760000000002</v>
      </c>
      <c r="W59" s="447">
        <f t="shared" si="14"/>
        <v>0</v>
      </c>
      <c r="X59" s="447"/>
      <c r="Y59" s="447">
        <f t="shared" ref="Y59:Y72" si="65">M59+T59</f>
        <v>2.6378445026220056</v>
      </c>
      <c r="Z59" s="447">
        <f t="shared" si="15"/>
        <v>2.6378445026220056</v>
      </c>
      <c r="AA59" s="447">
        <f t="shared" si="16"/>
        <v>3.84925176323343</v>
      </c>
      <c r="AC59" s="448">
        <f t="shared" si="17"/>
        <v>0</v>
      </c>
    </row>
    <row r="60" spans="1:43" ht="15.75" x14ac:dyDescent="0.2">
      <c r="A60" s="974" t="s">
        <v>1023</v>
      </c>
      <c r="B60" s="986"/>
      <c r="C60" s="976">
        <v>342.53</v>
      </c>
      <c r="D60" s="976">
        <v>0</v>
      </c>
      <c r="E60" s="976">
        <v>3.17</v>
      </c>
      <c r="F60" s="976">
        <f t="shared" si="61"/>
        <v>108.58201</v>
      </c>
      <c r="G60" s="977">
        <f t="shared" si="64"/>
        <v>108.58201</v>
      </c>
      <c r="H60" s="998">
        <f t="shared" si="62"/>
        <v>3.17</v>
      </c>
      <c r="I60" s="446">
        <f>'[12]Actuals apprd'!$F$75</f>
        <v>297.87815135</v>
      </c>
      <c r="J60" s="445"/>
      <c r="K60" s="445"/>
      <c r="L60" s="446">
        <f>'[12]Actuals apprd'!$N$75</f>
        <v>94.461759799999996</v>
      </c>
      <c r="M60" s="446">
        <f t="shared" si="63"/>
        <v>94.461759799999996</v>
      </c>
      <c r="N60" s="490">
        <f>M60/I60*10</f>
        <v>3.1711543586494733</v>
      </c>
      <c r="O60" s="978">
        <v>342</v>
      </c>
      <c r="P60" s="446">
        <f>O60-I60</f>
        <v>44.121848650000004</v>
      </c>
      <c r="Q60" s="446"/>
      <c r="R60" s="446"/>
      <c r="S60" s="446"/>
      <c r="T60" s="446">
        <f>P60*N60/10</f>
        <v>13.991719265811989</v>
      </c>
      <c r="U60" s="446">
        <f t="shared" si="53"/>
        <v>3.1711543586494733</v>
      </c>
      <c r="V60" s="446">
        <f t="shared" si="14"/>
        <v>342</v>
      </c>
      <c r="W60" s="447">
        <f t="shared" si="14"/>
        <v>0</v>
      </c>
      <c r="X60" s="447"/>
      <c r="Y60" s="447">
        <f t="shared" si="65"/>
        <v>108.45347906581199</v>
      </c>
      <c r="Z60" s="447">
        <f t="shared" si="15"/>
        <v>108.45347906581199</v>
      </c>
      <c r="AA60" s="447">
        <f t="shared" si="16"/>
        <v>3.1711543586494733</v>
      </c>
      <c r="AC60" s="448">
        <f t="shared" si="17"/>
        <v>0</v>
      </c>
    </row>
    <row r="61" spans="1:43" ht="15.75" x14ac:dyDescent="0.2">
      <c r="A61" s="974" t="s">
        <v>1024</v>
      </c>
      <c r="B61" s="986"/>
      <c r="C61" s="986"/>
      <c r="D61" s="976">
        <v>0</v>
      </c>
      <c r="E61" s="976">
        <v>4.3600000000000003</v>
      </c>
      <c r="F61" s="976">
        <f t="shared" si="61"/>
        <v>0</v>
      </c>
      <c r="G61" s="977">
        <f t="shared" si="64"/>
        <v>0</v>
      </c>
      <c r="H61" s="998" t="e">
        <f t="shared" si="62"/>
        <v>#DIV/0!</v>
      </c>
      <c r="I61" s="446"/>
      <c r="J61" s="445"/>
      <c r="K61" s="445"/>
      <c r="L61" s="446"/>
      <c r="M61" s="446">
        <f t="shared" si="63"/>
        <v>0</v>
      </c>
      <c r="N61" s="490"/>
      <c r="O61" s="992"/>
      <c r="P61" s="446"/>
      <c r="Q61" s="446"/>
      <c r="R61" s="446"/>
      <c r="S61" s="446"/>
      <c r="T61" s="446"/>
      <c r="U61" s="446"/>
      <c r="V61" s="446">
        <f t="shared" si="14"/>
        <v>0</v>
      </c>
      <c r="W61" s="447">
        <f t="shared" si="14"/>
        <v>0</v>
      </c>
      <c r="X61" s="447"/>
      <c r="Y61" s="447">
        <f t="shared" si="65"/>
        <v>0</v>
      </c>
      <c r="Z61" s="447">
        <f t="shared" si="15"/>
        <v>0</v>
      </c>
      <c r="AA61" s="447"/>
      <c r="AC61" s="448">
        <f t="shared" si="17"/>
        <v>0</v>
      </c>
    </row>
    <row r="62" spans="1:43" ht="15.75" x14ac:dyDescent="0.2">
      <c r="A62" s="974" t="s">
        <v>1025</v>
      </c>
      <c r="B62" s="986"/>
      <c r="C62" s="986"/>
      <c r="D62" s="976">
        <v>0</v>
      </c>
      <c r="E62" s="976">
        <v>3.56</v>
      </c>
      <c r="F62" s="976">
        <f t="shared" si="61"/>
        <v>0</v>
      </c>
      <c r="G62" s="977">
        <f t="shared" si="64"/>
        <v>0</v>
      </c>
      <c r="H62" s="998" t="e">
        <f t="shared" si="62"/>
        <v>#DIV/0!</v>
      </c>
      <c r="I62" s="445"/>
      <c r="J62" s="445"/>
      <c r="K62" s="445"/>
      <c r="L62" s="445"/>
      <c r="M62" s="446">
        <f t="shared" si="63"/>
        <v>0</v>
      </c>
      <c r="N62" s="490"/>
      <c r="O62" s="992"/>
      <c r="P62" s="446"/>
      <c r="Q62" s="446"/>
      <c r="R62" s="446"/>
      <c r="S62" s="446"/>
      <c r="T62" s="446"/>
      <c r="U62" s="446"/>
      <c r="V62" s="446">
        <f t="shared" si="14"/>
        <v>0</v>
      </c>
      <c r="W62" s="447">
        <f t="shared" si="14"/>
        <v>0</v>
      </c>
      <c r="X62" s="447"/>
      <c r="Y62" s="447">
        <f t="shared" si="65"/>
        <v>0</v>
      </c>
      <c r="Z62" s="447">
        <f t="shared" si="15"/>
        <v>0</v>
      </c>
      <c r="AA62" s="447"/>
      <c r="AC62" s="448">
        <f t="shared" si="17"/>
        <v>0</v>
      </c>
    </row>
    <row r="63" spans="1:43" ht="15.75" x14ac:dyDescent="0.2">
      <c r="A63" s="974" t="s">
        <v>1026</v>
      </c>
      <c r="B63" s="986"/>
      <c r="C63" s="976">
        <v>63.87</v>
      </c>
      <c r="D63" s="976">
        <v>0</v>
      </c>
      <c r="E63" s="976">
        <v>5.51</v>
      </c>
      <c r="F63" s="976">
        <f t="shared" si="61"/>
        <v>35.192369999999997</v>
      </c>
      <c r="G63" s="977">
        <f t="shared" si="64"/>
        <v>35.192369999999997</v>
      </c>
      <c r="H63" s="998">
        <f t="shared" si="62"/>
        <v>5.51</v>
      </c>
      <c r="I63" s="446">
        <f>'[12]Actuals apprd'!$F$74</f>
        <v>32.54175</v>
      </c>
      <c r="J63" s="445"/>
      <c r="K63" s="445"/>
      <c r="L63" s="446">
        <f>'[12]Actuals apprd'!$M$74</f>
        <v>17.933350300000001</v>
      </c>
      <c r="M63" s="446">
        <f t="shared" si="63"/>
        <v>17.933350300000001</v>
      </c>
      <c r="N63" s="490">
        <f>M63/I63*10</f>
        <v>5.5108745841880049</v>
      </c>
      <c r="O63" s="978">
        <f>C63-(C63*0.97%)</f>
        <v>63.250460999999994</v>
      </c>
      <c r="P63" s="446">
        <f>O63-I63</f>
        <v>30.708710999999994</v>
      </c>
      <c r="Q63" s="446"/>
      <c r="R63" s="446"/>
      <c r="S63" s="446"/>
      <c r="T63" s="446">
        <f>P63*N63/10</f>
        <v>16.923185496307457</v>
      </c>
      <c r="U63" s="446">
        <f t="shared" si="53"/>
        <v>5.5108745841880049</v>
      </c>
      <c r="V63" s="446">
        <f t="shared" si="14"/>
        <v>63.250460999999994</v>
      </c>
      <c r="W63" s="447">
        <f t="shared" si="14"/>
        <v>0</v>
      </c>
      <c r="X63" s="447"/>
      <c r="Y63" s="447">
        <f t="shared" si="65"/>
        <v>34.856535796307455</v>
      </c>
      <c r="Z63" s="447">
        <f t="shared" si="15"/>
        <v>34.856535796307455</v>
      </c>
      <c r="AA63" s="447">
        <f t="shared" si="16"/>
        <v>5.5108745841880049</v>
      </c>
      <c r="AC63" s="448">
        <f t="shared" si="17"/>
        <v>0</v>
      </c>
    </row>
    <row r="64" spans="1:43" ht="15.75" x14ac:dyDescent="0.2">
      <c r="A64" s="979" t="s">
        <v>1082</v>
      </c>
      <c r="B64" s="986"/>
      <c r="C64" s="981">
        <f>SUM(C57:C63)</f>
        <v>3908.3199999999997</v>
      </c>
      <c r="D64" s="976"/>
      <c r="E64" s="976"/>
      <c r="F64" s="981">
        <f>SUM(F57:F63)</f>
        <v>1469.75946</v>
      </c>
      <c r="G64" s="981">
        <f>SUM(G57:G63)</f>
        <v>1469.75946</v>
      </c>
      <c r="H64" s="998"/>
      <c r="I64" s="446"/>
      <c r="J64" s="445"/>
      <c r="K64" s="445"/>
      <c r="L64" s="446"/>
      <c r="M64" s="446"/>
      <c r="N64" s="490"/>
      <c r="O64" s="978"/>
      <c r="P64" s="446"/>
      <c r="Q64" s="446"/>
      <c r="R64" s="446"/>
      <c r="S64" s="446"/>
      <c r="T64" s="446"/>
      <c r="U64" s="446"/>
      <c r="V64" s="446"/>
      <c r="W64" s="447"/>
      <c r="X64" s="447"/>
      <c r="Y64" s="447"/>
      <c r="Z64" s="447"/>
      <c r="AA64" s="447"/>
      <c r="AC64" s="448"/>
    </row>
    <row r="65" spans="1:32" ht="15.75" x14ac:dyDescent="0.2">
      <c r="A65" s="979" t="s">
        <v>1027</v>
      </c>
      <c r="B65" s="986"/>
      <c r="C65" s="976"/>
      <c r="D65" s="976"/>
      <c r="E65" s="976"/>
      <c r="F65" s="976"/>
      <c r="G65" s="977"/>
      <c r="H65" s="998"/>
      <c r="I65" s="446">
        <f>'[12]Actuals apprd'!$F$79</f>
        <v>1076.7636337500001</v>
      </c>
      <c r="J65" s="445"/>
      <c r="K65" s="445"/>
      <c r="L65" s="446">
        <f>'[12]Actuals apprd'!$M$79</f>
        <v>511.3982740970003</v>
      </c>
      <c r="M65" s="446">
        <f t="shared" si="63"/>
        <v>511.3982740970003</v>
      </c>
      <c r="N65" s="490">
        <f>M65/I65*10</f>
        <v>4.7494014291323596</v>
      </c>
      <c r="O65" s="978">
        <f>C65-(C65*0.97%)</f>
        <v>0</v>
      </c>
      <c r="P65" s="446">
        <v>850</v>
      </c>
      <c r="Q65" s="446"/>
      <c r="R65" s="446"/>
      <c r="S65" s="446"/>
      <c r="T65" s="446">
        <f>P65*N65/10</f>
        <v>403.69912147625053</v>
      </c>
      <c r="U65" s="446">
        <f t="shared" si="53"/>
        <v>4.7494014291323587</v>
      </c>
      <c r="V65" s="446">
        <f t="shared" si="14"/>
        <v>1926.7636337500001</v>
      </c>
      <c r="W65" s="447">
        <f t="shared" si="14"/>
        <v>0</v>
      </c>
      <c r="X65" s="447"/>
      <c r="Y65" s="447">
        <f t="shared" si="65"/>
        <v>915.09739557325088</v>
      </c>
      <c r="Z65" s="447">
        <f t="shared" si="15"/>
        <v>915.09739557325088</v>
      </c>
      <c r="AA65" s="447">
        <f t="shared" si="16"/>
        <v>4.7494014291323596</v>
      </c>
      <c r="AC65" s="448">
        <f t="shared" si="17"/>
        <v>1926.7636337500001</v>
      </c>
    </row>
    <row r="66" spans="1:32" ht="15.75" x14ac:dyDescent="0.2">
      <c r="A66" s="974" t="s">
        <v>1049</v>
      </c>
      <c r="B66" s="986"/>
      <c r="C66" s="976">
        <f>ROUND(AE66,2)</f>
        <v>399</v>
      </c>
      <c r="D66" s="976"/>
      <c r="E66" s="976">
        <v>6.52</v>
      </c>
      <c r="F66" s="976">
        <f t="shared" ref="F66:F73" si="66">C66*E66/10</f>
        <v>260.14800000000002</v>
      </c>
      <c r="G66" s="977">
        <f t="shared" si="64"/>
        <v>260.14800000000002</v>
      </c>
      <c r="H66" s="998">
        <f t="shared" si="62"/>
        <v>6.5200000000000005</v>
      </c>
      <c r="I66" s="446"/>
      <c r="J66" s="445"/>
      <c r="K66" s="445"/>
      <c r="L66" s="446"/>
      <c r="M66" s="446"/>
      <c r="N66" s="490"/>
      <c r="O66" s="978"/>
      <c r="P66" s="446"/>
      <c r="Q66" s="446"/>
      <c r="R66" s="446"/>
      <c r="S66" s="446"/>
      <c r="T66" s="446"/>
      <c r="U66" s="446"/>
      <c r="V66" s="446"/>
      <c r="W66" s="447"/>
      <c r="X66" s="447"/>
      <c r="Y66" s="447"/>
      <c r="Z66" s="447"/>
      <c r="AA66" s="447"/>
      <c r="AC66" s="448"/>
      <c r="AE66">
        <f>(AF66*5%)+AF66</f>
        <v>399</v>
      </c>
      <c r="AF66" s="448">
        <f>'[13]FY 20'!C67</f>
        <v>380</v>
      </c>
    </row>
    <row r="67" spans="1:32" ht="15.75" x14ac:dyDescent="0.2">
      <c r="A67" s="974" t="s">
        <v>1050</v>
      </c>
      <c r="B67" s="986"/>
      <c r="C67" s="976">
        <f>ROUND(AE67,2)</f>
        <v>224.4</v>
      </c>
      <c r="D67" s="976"/>
      <c r="E67" s="976">
        <v>6.82</v>
      </c>
      <c r="F67" s="976">
        <f t="shared" si="66"/>
        <v>153.04080000000002</v>
      </c>
      <c r="G67" s="977">
        <f t="shared" si="64"/>
        <v>153.04080000000002</v>
      </c>
      <c r="H67" s="998">
        <f t="shared" si="62"/>
        <v>6.82</v>
      </c>
      <c r="I67" s="446"/>
      <c r="J67" s="445"/>
      <c r="K67" s="445"/>
      <c r="L67" s="446"/>
      <c r="M67" s="446"/>
      <c r="N67" s="490"/>
      <c r="O67" s="978"/>
      <c r="P67" s="446"/>
      <c r="Q67" s="446"/>
      <c r="R67" s="446"/>
      <c r="S67" s="446"/>
      <c r="T67" s="446"/>
      <c r="U67" s="446"/>
      <c r="V67" s="446"/>
      <c r="W67" s="447"/>
      <c r="X67" s="447"/>
      <c r="Y67" s="447"/>
      <c r="Z67" s="447"/>
      <c r="AA67" s="447"/>
      <c r="AC67" s="448"/>
      <c r="AE67">
        <f>(AF67*2%)+AF67</f>
        <v>224.4</v>
      </c>
      <c r="AF67" s="448">
        <f>'[13]FY 20'!C68</f>
        <v>220</v>
      </c>
    </row>
    <row r="68" spans="1:32" ht="15.75" x14ac:dyDescent="0.2">
      <c r="A68" s="974" t="s">
        <v>1051</v>
      </c>
      <c r="B68" s="986"/>
      <c r="C68" s="976">
        <f>ROUND(AE68,2)</f>
        <v>814.8</v>
      </c>
      <c r="D68" s="976"/>
      <c r="E68" s="976">
        <v>4.8</v>
      </c>
      <c r="F68" s="976">
        <f t="shared" si="66"/>
        <v>391.10399999999993</v>
      </c>
      <c r="G68" s="977">
        <f t="shared" si="64"/>
        <v>391.10399999999993</v>
      </c>
      <c r="H68" s="998">
        <f t="shared" si="62"/>
        <v>4.7999999999999989</v>
      </c>
      <c r="I68" s="446"/>
      <c r="J68" s="445"/>
      <c r="K68" s="445"/>
      <c r="L68" s="446"/>
      <c r="M68" s="446"/>
      <c r="N68" s="490"/>
      <c r="O68" s="978"/>
      <c r="P68" s="446"/>
      <c r="Q68" s="446"/>
      <c r="R68" s="446"/>
      <c r="S68" s="446"/>
      <c r="T68" s="446"/>
      <c r="U68" s="446"/>
      <c r="V68" s="446"/>
      <c r="W68" s="447"/>
      <c r="X68" s="447"/>
      <c r="Y68" s="447"/>
      <c r="Z68" s="447"/>
      <c r="AA68" s="447"/>
      <c r="AC68" s="448"/>
      <c r="AE68">
        <f>(AF68*5%)+AF68</f>
        <v>814.8</v>
      </c>
      <c r="AF68" s="448">
        <f>'[13]FY 20'!C69</f>
        <v>776</v>
      </c>
    </row>
    <row r="69" spans="1:32" ht="31.5" x14ac:dyDescent="0.2">
      <c r="A69" s="974" t="s">
        <v>1052</v>
      </c>
      <c r="B69" s="975">
        <v>46.39</v>
      </c>
      <c r="C69" s="976">
        <f>ROUND(AE69,2)</f>
        <v>735</v>
      </c>
      <c r="D69" s="976">
        <v>0</v>
      </c>
      <c r="E69" s="976">
        <v>4.8</v>
      </c>
      <c r="F69" s="976">
        <f t="shared" si="66"/>
        <v>352.8</v>
      </c>
      <c r="G69" s="977">
        <f t="shared" si="64"/>
        <v>352.8</v>
      </c>
      <c r="H69" s="998">
        <f t="shared" si="62"/>
        <v>4.8000000000000007</v>
      </c>
      <c r="I69" s="445"/>
      <c r="J69" s="445"/>
      <c r="K69" s="445"/>
      <c r="L69" s="445"/>
      <c r="M69" s="446"/>
      <c r="N69" s="490"/>
      <c r="O69" s="992"/>
      <c r="P69" s="446"/>
      <c r="Q69" s="446"/>
      <c r="R69" s="446"/>
      <c r="S69" s="446"/>
      <c r="T69" s="446"/>
      <c r="U69" s="446"/>
      <c r="V69" s="446">
        <f t="shared" si="14"/>
        <v>0</v>
      </c>
      <c r="W69" s="447">
        <f t="shared" si="14"/>
        <v>0</v>
      </c>
      <c r="X69" s="447"/>
      <c r="Y69" s="447">
        <f>L69+S69</f>
        <v>0</v>
      </c>
      <c r="Z69" s="447">
        <f t="shared" si="15"/>
        <v>0</v>
      </c>
      <c r="AA69" s="447"/>
      <c r="AC69" s="448">
        <f t="shared" si="17"/>
        <v>0</v>
      </c>
      <c r="AE69">
        <f>(AF69*5%)+AF69</f>
        <v>735</v>
      </c>
      <c r="AF69" s="448">
        <f>'[13]FY 20'!C70</f>
        <v>700</v>
      </c>
    </row>
    <row r="70" spans="1:32" ht="15.75" x14ac:dyDescent="0.2">
      <c r="A70" s="974" t="s">
        <v>1053</v>
      </c>
      <c r="B70" s="975"/>
      <c r="C70" s="976">
        <v>88</v>
      </c>
      <c r="D70" s="976">
        <v>0</v>
      </c>
      <c r="E70" s="976">
        <v>8.35</v>
      </c>
      <c r="F70" s="976">
        <f t="shared" si="66"/>
        <v>73.47999999999999</v>
      </c>
      <c r="G70" s="977">
        <f t="shared" si="64"/>
        <v>73.47999999999999</v>
      </c>
      <c r="H70" s="998">
        <f t="shared" si="62"/>
        <v>8.3499999999999979</v>
      </c>
      <c r="I70" s="445"/>
      <c r="J70" s="445"/>
      <c r="K70" s="445"/>
      <c r="L70" s="445"/>
      <c r="M70" s="446"/>
      <c r="N70" s="490"/>
      <c r="O70" s="992"/>
      <c r="P70" s="446"/>
      <c r="Q70" s="446"/>
      <c r="R70" s="446"/>
      <c r="S70" s="446"/>
      <c r="T70" s="446"/>
      <c r="U70" s="446"/>
      <c r="V70" s="446"/>
      <c r="W70" s="447"/>
      <c r="X70" s="447"/>
      <c r="Y70" s="447"/>
      <c r="Z70" s="447"/>
      <c r="AA70" s="447"/>
      <c r="AC70" s="448"/>
    </row>
    <row r="71" spans="1:32" ht="15.75" x14ac:dyDescent="0.2">
      <c r="A71" s="974" t="s">
        <v>1054</v>
      </c>
      <c r="B71" s="975"/>
      <c r="C71" s="976">
        <f>563-88</f>
        <v>475</v>
      </c>
      <c r="D71" s="976">
        <v>0</v>
      </c>
      <c r="E71" s="976">
        <v>4.66</v>
      </c>
      <c r="F71" s="976">
        <f t="shared" si="66"/>
        <v>221.35</v>
      </c>
      <c r="G71" s="977">
        <f t="shared" si="64"/>
        <v>221.35</v>
      </c>
      <c r="H71" s="998">
        <f t="shared" si="62"/>
        <v>4.66</v>
      </c>
      <c r="I71" s="445"/>
      <c r="J71" s="445"/>
      <c r="K71" s="445"/>
      <c r="L71" s="445"/>
      <c r="M71" s="446"/>
      <c r="N71" s="490"/>
      <c r="O71" s="992"/>
      <c r="P71" s="446"/>
      <c r="Q71" s="446"/>
      <c r="R71" s="446"/>
      <c r="S71" s="446"/>
      <c r="T71" s="446"/>
      <c r="U71" s="446"/>
      <c r="V71" s="446"/>
      <c r="W71" s="447"/>
      <c r="X71" s="447"/>
      <c r="Y71" s="447"/>
      <c r="Z71" s="447"/>
      <c r="AA71" s="447"/>
      <c r="AC71" s="448"/>
    </row>
    <row r="72" spans="1:32" ht="15.75" x14ac:dyDescent="0.2">
      <c r="A72" s="974" t="s">
        <v>1055</v>
      </c>
      <c r="B72" s="986"/>
      <c r="C72" s="976">
        <v>3</v>
      </c>
      <c r="D72" s="976">
        <v>0</v>
      </c>
      <c r="E72" s="976">
        <v>6</v>
      </c>
      <c r="F72" s="976">
        <f t="shared" si="66"/>
        <v>1.8</v>
      </c>
      <c r="G72" s="977">
        <f t="shared" si="64"/>
        <v>1.8</v>
      </c>
      <c r="H72" s="998">
        <f t="shared" si="62"/>
        <v>6</v>
      </c>
      <c r="I72" s="446">
        <f>'[12]Actuals apprd'!$F$78</f>
        <v>1.4610399999999999</v>
      </c>
      <c r="J72" s="445"/>
      <c r="K72" s="445"/>
      <c r="L72" s="446">
        <f>'[12]Actuals apprd'!$N$78</f>
        <v>0.87662399999999996</v>
      </c>
      <c r="M72" s="446">
        <f t="shared" si="63"/>
        <v>0.87662399999999996</v>
      </c>
      <c r="N72" s="490">
        <f>M72/I72*10</f>
        <v>6</v>
      </c>
      <c r="O72" s="978">
        <f>C72-(C72*0.97%)</f>
        <v>2.9708999999999999</v>
      </c>
      <c r="P72" s="446">
        <f>O72-I72</f>
        <v>1.50986</v>
      </c>
      <c r="Q72" s="446"/>
      <c r="R72" s="446"/>
      <c r="S72" s="446"/>
      <c r="T72" s="446">
        <f>P72*N72/10</f>
        <v>0.90591600000000005</v>
      </c>
      <c r="U72" s="446">
        <f t="shared" si="53"/>
        <v>6.0000000000000009</v>
      </c>
      <c r="V72" s="446">
        <f t="shared" si="14"/>
        <v>2.9708999999999999</v>
      </c>
      <c r="W72" s="447">
        <f t="shared" si="14"/>
        <v>0</v>
      </c>
      <c r="X72" s="447"/>
      <c r="Y72" s="447">
        <f t="shared" si="65"/>
        <v>1.78254</v>
      </c>
      <c r="Z72" s="447">
        <f t="shared" si="15"/>
        <v>1.78254</v>
      </c>
      <c r="AA72" s="447">
        <f t="shared" si="16"/>
        <v>6</v>
      </c>
      <c r="AC72" s="448">
        <f t="shared" si="17"/>
        <v>0</v>
      </c>
    </row>
    <row r="73" spans="1:32" ht="15.75" x14ac:dyDescent="0.2">
      <c r="A73" s="974" t="s">
        <v>1083</v>
      </c>
      <c r="B73" s="975">
        <v>46.643000000000001</v>
      </c>
      <c r="C73" s="976">
        <f>200.01+12.05+2+54.29+279.19+143.83+75.11+230.06</f>
        <v>996.54</v>
      </c>
      <c r="D73" s="976">
        <v>0</v>
      </c>
      <c r="E73" s="976">
        <v>2.85</v>
      </c>
      <c r="F73" s="976">
        <f t="shared" si="66"/>
        <v>284.01390000000004</v>
      </c>
      <c r="G73" s="977">
        <f t="shared" si="64"/>
        <v>284.01390000000004</v>
      </c>
      <c r="H73" s="998">
        <f t="shared" si="62"/>
        <v>2.8500000000000005</v>
      </c>
      <c r="I73" s="446"/>
      <c r="J73" s="445"/>
      <c r="K73" s="445"/>
      <c r="L73" s="446"/>
      <c r="M73" s="446"/>
      <c r="N73" s="490"/>
      <c r="O73" s="978"/>
      <c r="P73" s="446"/>
      <c r="Q73" s="446"/>
      <c r="R73" s="446"/>
      <c r="S73" s="446"/>
      <c r="T73" s="446"/>
      <c r="U73" s="446"/>
      <c r="V73" s="446"/>
      <c r="W73" s="447"/>
      <c r="X73" s="447"/>
      <c r="Y73" s="447"/>
      <c r="Z73" s="447"/>
      <c r="AA73" s="447"/>
      <c r="AC73" s="448"/>
    </row>
    <row r="74" spans="1:32" ht="15.75" x14ac:dyDescent="0.2">
      <c r="A74" s="974"/>
      <c r="B74" s="986"/>
      <c r="C74" s="981">
        <f>SUM(C66:C73)</f>
        <v>3735.74</v>
      </c>
      <c r="D74" s="976"/>
      <c r="E74" s="976"/>
      <c r="F74" s="981">
        <f>SUM(F66:F73)</f>
        <v>1737.7366999999999</v>
      </c>
      <c r="G74" s="981">
        <f>SUM(G66:G73)</f>
        <v>1737.7366999999999</v>
      </c>
      <c r="H74" s="998"/>
      <c r="I74" s="446"/>
      <c r="J74" s="445"/>
      <c r="K74" s="445"/>
      <c r="L74" s="446"/>
      <c r="M74" s="446"/>
      <c r="N74" s="490"/>
      <c r="O74" s="978"/>
      <c r="P74" s="446"/>
      <c r="Q74" s="446"/>
      <c r="R74" s="446"/>
      <c r="S74" s="446"/>
      <c r="T74" s="446"/>
      <c r="U74" s="446"/>
      <c r="V74" s="446"/>
      <c r="W74" s="447"/>
      <c r="X74" s="447"/>
      <c r="Y74" s="447"/>
      <c r="Z74" s="447"/>
      <c r="AA74" s="447"/>
      <c r="AC74" s="448"/>
    </row>
    <row r="75" spans="1:32" ht="15.75" x14ac:dyDescent="0.2">
      <c r="A75" s="979" t="s">
        <v>1030</v>
      </c>
      <c r="B75" s="980"/>
      <c r="C75" s="981">
        <f>C64+C74</f>
        <v>7644.0599999999995</v>
      </c>
      <c r="D75" s="981">
        <v>0</v>
      </c>
      <c r="E75" s="980"/>
      <c r="F75" s="981"/>
      <c r="G75" s="982">
        <f>G64+G74</f>
        <v>3207.4961599999997</v>
      </c>
      <c r="H75" s="983">
        <v>4.33</v>
      </c>
      <c r="I75" s="983">
        <f>SUM(I58:I72)</f>
        <v>3484.7722057500005</v>
      </c>
      <c r="J75" s="445"/>
      <c r="K75" s="445"/>
      <c r="L75" s="983">
        <f>SUM(L58:L72)</f>
        <v>1364.3768804595004</v>
      </c>
      <c r="M75" s="983">
        <f>SUM(M58:M72)</f>
        <v>1364.3768804595004</v>
      </c>
      <c r="N75" s="490">
        <f>M75/I75*10</f>
        <v>3.9152541397346692</v>
      </c>
      <c r="O75" s="984">
        <f t="shared" ref="O75:T75" si="67">SUM(O58:O72)</f>
        <v>2916.0742369999998</v>
      </c>
      <c r="P75" s="983">
        <f t="shared" si="67"/>
        <v>1358.0656649999999</v>
      </c>
      <c r="Q75" s="983">
        <f t="shared" si="67"/>
        <v>0</v>
      </c>
      <c r="R75" s="983">
        <f t="shared" si="67"/>
        <v>0</v>
      </c>
      <c r="S75" s="983">
        <f t="shared" si="67"/>
        <v>0</v>
      </c>
      <c r="T75" s="983">
        <f t="shared" si="67"/>
        <v>589.42805323950881</v>
      </c>
      <c r="U75" s="490">
        <f t="shared" si="53"/>
        <v>4.3402028961501573</v>
      </c>
      <c r="V75" s="490">
        <f t="shared" si="14"/>
        <v>4842.8378707500005</v>
      </c>
      <c r="W75" s="985">
        <f t="shared" si="14"/>
        <v>0</v>
      </c>
      <c r="X75" s="985"/>
      <c r="Y75" s="983">
        <f>SUM(Y58:Y72)</f>
        <v>1953.8049336990089</v>
      </c>
      <c r="Z75" s="985">
        <f t="shared" si="15"/>
        <v>1953.8049336990089</v>
      </c>
      <c r="AA75" s="985">
        <f t="shared" si="16"/>
        <v>4.0344215227598088</v>
      </c>
      <c r="AC75" s="448">
        <f t="shared" si="17"/>
        <v>1926.7636337500007</v>
      </c>
    </row>
    <row r="76" spans="1:32" ht="15.75" x14ac:dyDescent="0.2">
      <c r="A76" s="974" t="s">
        <v>1034</v>
      </c>
      <c r="B76" s="986"/>
      <c r="C76" s="986"/>
      <c r="D76" s="976"/>
      <c r="E76" s="986"/>
      <c r="F76" s="976"/>
      <c r="G76" s="987"/>
      <c r="H76" s="999"/>
      <c r="I76" s="445"/>
      <c r="J76" s="445"/>
      <c r="K76" s="445"/>
      <c r="L76" s="445"/>
      <c r="M76" s="445"/>
      <c r="N76" s="445"/>
      <c r="O76" s="978"/>
      <c r="P76" s="446"/>
      <c r="Q76" s="446"/>
      <c r="R76" s="446"/>
      <c r="S76" s="446"/>
      <c r="T76" s="446"/>
      <c r="U76" s="446"/>
      <c r="V76" s="446"/>
      <c r="W76" s="447"/>
      <c r="X76" s="447"/>
      <c r="Y76" s="447"/>
      <c r="Z76" s="447"/>
      <c r="AA76" s="447"/>
    </row>
    <row r="77" spans="1:32" ht="15.75" x14ac:dyDescent="0.2">
      <c r="A77" s="974" t="s">
        <v>1035</v>
      </c>
      <c r="B77" s="986"/>
      <c r="C77" s="986"/>
      <c r="D77" s="976"/>
      <c r="E77" s="986"/>
      <c r="F77" s="976">
        <v>0</v>
      </c>
      <c r="G77" s="977">
        <v>1215</v>
      </c>
      <c r="H77" s="999"/>
      <c r="I77" s="445"/>
      <c r="J77" s="445"/>
      <c r="K77" s="445"/>
      <c r="L77" s="445"/>
      <c r="M77" s="446">
        <f>'[12]Actuals apprd'!$N$59</f>
        <v>485.69514090000001</v>
      </c>
      <c r="N77" s="445"/>
      <c r="O77" s="978"/>
      <c r="P77" s="446"/>
      <c r="Q77" s="446"/>
      <c r="R77" s="446"/>
      <c r="S77" s="446"/>
      <c r="T77" s="446">
        <f>90*6</f>
        <v>540</v>
      </c>
      <c r="U77" s="446"/>
      <c r="V77" s="446">
        <f t="shared" si="14"/>
        <v>0</v>
      </c>
      <c r="W77" s="447">
        <f t="shared" si="14"/>
        <v>0</v>
      </c>
      <c r="X77" s="447"/>
      <c r="Y77" s="447"/>
      <c r="Z77" s="447">
        <f>M77+T77</f>
        <v>1025.6951409000001</v>
      </c>
      <c r="AA77" s="447"/>
    </row>
    <row r="78" spans="1:32" ht="15.75" x14ac:dyDescent="0.2">
      <c r="A78" s="974" t="s">
        <v>1036</v>
      </c>
      <c r="B78" s="986"/>
      <c r="C78" s="986"/>
      <c r="D78" s="976"/>
      <c r="E78" s="986"/>
      <c r="F78" s="976">
        <v>0</v>
      </c>
      <c r="G78" s="977">
        <v>1920</v>
      </c>
      <c r="H78" s="999"/>
      <c r="I78" s="445"/>
      <c r="J78" s="445"/>
      <c r="K78" s="445"/>
      <c r="L78" s="445"/>
      <c r="M78" s="446">
        <f>'[12]Actuals apprd'!$N$107</f>
        <v>764.3299968</v>
      </c>
      <c r="N78" s="445"/>
      <c r="O78" s="978"/>
      <c r="P78" s="446"/>
      <c r="Q78" s="446"/>
      <c r="R78" s="446"/>
      <c r="S78" s="446"/>
      <c r="T78" s="446">
        <f>G78-M78</f>
        <v>1155.6700031999999</v>
      </c>
      <c r="U78" s="446"/>
      <c r="V78" s="446">
        <f t="shared" ref="V78:W82" si="68">I78+P78</f>
        <v>0</v>
      </c>
      <c r="W78" s="447">
        <f t="shared" si="68"/>
        <v>0</v>
      </c>
      <c r="X78" s="447"/>
      <c r="Y78" s="447"/>
      <c r="Z78" s="447">
        <f>M78+T78</f>
        <v>1920</v>
      </c>
      <c r="AA78" s="447"/>
    </row>
    <row r="79" spans="1:32" ht="15.75" x14ac:dyDescent="0.2">
      <c r="A79" s="974" t="s">
        <v>1037</v>
      </c>
      <c r="B79" s="986"/>
      <c r="C79" s="986"/>
      <c r="D79" s="976"/>
      <c r="E79" s="986"/>
      <c r="F79" s="976">
        <v>0</v>
      </c>
      <c r="G79" s="977">
        <f>16.02+2.84-0.26</f>
        <v>18.599999999999998</v>
      </c>
      <c r="H79" s="999"/>
      <c r="I79" s="445"/>
      <c r="J79" s="445"/>
      <c r="K79" s="445"/>
      <c r="L79" s="445"/>
      <c r="M79" s="446">
        <f>'[12]Actuals apprd'!$N$108</f>
        <v>7.5149999999999997</v>
      </c>
      <c r="N79" s="445"/>
      <c r="O79" s="978"/>
      <c r="P79" s="446"/>
      <c r="Q79" s="446"/>
      <c r="R79" s="446"/>
      <c r="S79" s="446"/>
      <c r="T79" s="446">
        <f>G79-M79</f>
        <v>11.084999999999997</v>
      </c>
      <c r="U79" s="446"/>
      <c r="V79" s="446">
        <f t="shared" si="68"/>
        <v>0</v>
      </c>
      <c r="W79" s="447">
        <f t="shared" si="68"/>
        <v>0</v>
      </c>
      <c r="X79" s="447"/>
      <c r="Y79" s="447"/>
      <c r="Z79" s="447">
        <f>M79+T79</f>
        <v>18.599999999999998</v>
      </c>
      <c r="AA79" s="447"/>
    </row>
    <row r="80" spans="1:32" ht="15.75" x14ac:dyDescent="0.2">
      <c r="A80" s="970" t="s">
        <v>1038</v>
      </c>
      <c r="B80" s="986"/>
      <c r="C80" s="986"/>
      <c r="D80" s="976"/>
      <c r="E80" s="986"/>
      <c r="F80" s="976">
        <v>0</v>
      </c>
      <c r="G80" s="977">
        <v>1.08</v>
      </c>
      <c r="H80" s="999"/>
      <c r="I80" s="445"/>
      <c r="J80" s="445"/>
      <c r="K80" s="445"/>
      <c r="L80" s="445"/>
      <c r="M80" s="446">
        <f>'[12]Actuals apprd'!$N$113+'[12]Actuals apprd'!$N$109</f>
        <v>1.6792</v>
      </c>
      <c r="N80" s="445"/>
      <c r="O80" s="978"/>
      <c r="P80" s="446"/>
      <c r="Q80" s="446"/>
      <c r="R80" s="446"/>
      <c r="S80" s="446"/>
      <c r="T80" s="446">
        <v>1.68</v>
      </c>
      <c r="U80" s="446"/>
      <c r="V80" s="446">
        <f t="shared" si="68"/>
        <v>0</v>
      </c>
      <c r="W80" s="447">
        <f t="shared" si="68"/>
        <v>0</v>
      </c>
      <c r="X80" s="447"/>
      <c r="Y80" s="447"/>
      <c r="Z80" s="447">
        <f>M80+T80</f>
        <v>3.3592</v>
      </c>
      <c r="AA80" s="447"/>
    </row>
    <row r="81" spans="1:29" ht="15.75" x14ac:dyDescent="0.2">
      <c r="A81" s="970" t="s">
        <v>1039</v>
      </c>
      <c r="B81" s="986"/>
      <c r="C81" s="986"/>
      <c r="D81" s="976"/>
      <c r="E81" s="986"/>
      <c r="F81" s="976"/>
      <c r="G81" s="977"/>
      <c r="H81" s="999"/>
      <c r="I81" s="446">
        <f>'[12]Actuals apprd'!$F$110</f>
        <v>795.01</v>
      </c>
      <c r="J81" s="445"/>
      <c r="K81" s="445"/>
      <c r="L81" s="445"/>
      <c r="M81" s="446">
        <f>'[12]Actuals apprd'!$N$110</f>
        <v>280.02999999999997</v>
      </c>
      <c r="N81" s="445"/>
      <c r="O81" s="978"/>
      <c r="P81" s="446">
        <f>-600-129.64-158.31</f>
        <v>-887.95</v>
      </c>
      <c r="Q81" s="446"/>
      <c r="R81" s="446"/>
      <c r="S81" s="446"/>
      <c r="T81" s="446">
        <f>P81*4.81/10</f>
        <v>-427.10395</v>
      </c>
      <c r="U81" s="446"/>
      <c r="V81" s="446">
        <f t="shared" si="68"/>
        <v>-92.940000000000055</v>
      </c>
      <c r="W81" s="447">
        <f t="shared" si="68"/>
        <v>0</v>
      </c>
      <c r="X81" s="447"/>
      <c r="Y81" s="447"/>
      <c r="Z81" s="447">
        <f>M81+T81</f>
        <v>-147.07395000000002</v>
      </c>
      <c r="AA81" s="447"/>
    </row>
    <row r="82" spans="1:29" ht="47.25" x14ac:dyDescent="0.25">
      <c r="A82" s="979" t="s">
        <v>1040</v>
      </c>
      <c r="B82" s="986"/>
      <c r="C82" s="981">
        <f>C13+C35+C37+C51+C55+C64+C74</f>
        <v>35491.681999999993</v>
      </c>
      <c r="D82" s="981">
        <f>D13+D35+D37+D51+D55+D75+D73+D76+D77+D78+D79+D80</f>
        <v>5563.9599639999997</v>
      </c>
      <c r="E82" s="981">
        <f>E13+E35+E37+E51+E55+E75+E73+E76+E77+E78+E79+E80</f>
        <v>12.548583751967938</v>
      </c>
      <c r="F82" s="981">
        <f>F13+F35+F37+F51+F55+F75+F73+F76+F77+F78+F79+F80</f>
        <v>10217.843752954001</v>
      </c>
      <c r="G82" s="982">
        <f>G13+G35+G37+G51+G55+G64+G74+G77+G78+G79+G80</f>
        <v>21859.965976954001</v>
      </c>
      <c r="H82" s="983">
        <f>G82/C82*10</f>
        <v>6.1591800515270041</v>
      </c>
      <c r="I82" s="983" t="e">
        <f>I13+I35+I37+I51+I55+I75+#REF!+#REF!+#REF!+I76+I77+I78+I79+I80+I81</f>
        <v>#REF!</v>
      </c>
      <c r="J82" s="983" t="e">
        <f>J13+J35+J37+J51+J55+J75+#REF!+#REF!+#REF!+J76+J77+J78+J79+J80</f>
        <v>#REF!</v>
      </c>
      <c r="K82" s="445"/>
      <c r="L82" s="983" t="e">
        <f>L13+L35+L37+L51+L55+L75+#REF!+#REF!+#REF!+L76+L77+L78+L79+L80</f>
        <v>#REF!</v>
      </c>
      <c r="M82" s="983" t="e">
        <f>M13+M35+M37+M51+M55+M75+#REF!+#REF!+#REF!+M76+M77+M78+M79+M80+M81</f>
        <v>#REF!</v>
      </c>
      <c r="N82" s="490" t="e">
        <f>M82/I82*10</f>
        <v>#REF!</v>
      </c>
      <c r="O82" s="984" t="e">
        <f>O13+O35+O37+O51+O55+O75+#REF!+#REF!+#REF!+O76+O77+O78+O79+O80</f>
        <v>#REF!</v>
      </c>
      <c r="P82" s="983" t="e">
        <f>P13+P35+P37+P51+P55+P75+#REF!+#REF!+#REF!+P76+P77+P78+P79+P80+P81</f>
        <v>#REF!</v>
      </c>
      <c r="Q82" s="983" t="e">
        <f>Q13+Q35+Q37+Q51+Q55+Q75+#REF!+#REF!+#REF!+Q76+Q77+Q78+Q79+Q80+Q81</f>
        <v>#REF!</v>
      </c>
      <c r="R82" s="983" t="e">
        <f>R13+R35+R37+R51+R55+R75+#REF!+#REF!+#REF!+R76+R77+R78+R79+R80+R81</f>
        <v>#REF!</v>
      </c>
      <c r="S82" s="983" t="e">
        <f>S13+S35+S37+S51+S55+S75+#REF!+#REF!+#REF!+S76+S77+S78+S79+S80+S81</f>
        <v>#REF!</v>
      </c>
      <c r="T82" s="983" t="e">
        <f>T13+T35+T37+T51+T55+T75+#REF!+#REF!+#REF!+T76+T77+T78+T79+T80+T81</f>
        <v>#REF!</v>
      </c>
      <c r="U82" s="983" t="e">
        <f>T82/P82*10</f>
        <v>#REF!</v>
      </c>
      <c r="V82" s="490" t="e">
        <f t="shared" si="68"/>
        <v>#REF!</v>
      </c>
      <c r="W82" s="985" t="e">
        <f t="shared" si="68"/>
        <v>#REF!</v>
      </c>
      <c r="X82" s="447"/>
      <c r="Y82" s="983" t="e">
        <f>Y13+Y35+Y37+Y51+Y55+Y75+#REF!+#REF!+#REF!+Y76+Y77+Y78+Y79+Y80+Y81</f>
        <v>#REF!</v>
      </c>
      <c r="Z82" s="983" t="e">
        <f>Z13+Z35+Z37+Z51+Z55+Z75+#REF!+#REF!+#REF!+Z76+Z77+Z78+Z79+Z80+Z81</f>
        <v>#REF!</v>
      </c>
      <c r="AA82" s="985" t="e">
        <f>Z82/V82*10</f>
        <v>#REF!</v>
      </c>
      <c r="AC82" s="1004" t="e">
        <f>AC13+AC35+AC37+AC51+AC55+AC75+#REF!+#REF!+#REF!+AC76+AC77+AC78+AC79+AC80+AC81</f>
        <v>#REF!</v>
      </c>
    </row>
    <row r="83" spans="1:29" ht="15" hidden="1" x14ac:dyDescent="0.2">
      <c r="A83" s="369" t="s">
        <v>119</v>
      </c>
      <c r="B83" s="1023"/>
      <c r="C83" s="1023">
        <v>35491.68</v>
      </c>
      <c r="D83" s="1023"/>
      <c r="E83" s="1023"/>
      <c r="F83" s="1023"/>
      <c r="G83" s="1023"/>
      <c r="H83" s="1023"/>
      <c r="I83" s="1008"/>
      <c r="J83" s="1008"/>
      <c r="K83" s="1008"/>
      <c r="L83" s="1008"/>
      <c r="M83" s="1008"/>
      <c r="N83" s="1008"/>
      <c r="O83" s="1009"/>
      <c r="P83" s="1010" t="e">
        <f>P82+I82</f>
        <v>#REF!</v>
      </c>
      <c r="Q83" s="1008"/>
      <c r="R83" s="1008"/>
      <c r="S83" s="1008"/>
      <c r="T83" s="1010" t="e">
        <f>T82+M82</f>
        <v>#REF!</v>
      </c>
      <c r="U83" s="1011" t="e">
        <f>T83/P83*10</f>
        <v>#REF!</v>
      </c>
      <c r="V83" s="1011"/>
      <c r="Z83" s="448" t="e">
        <f>T83-Z82</f>
        <v>#REF!</v>
      </c>
    </row>
    <row r="84" spans="1:29" hidden="1" x14ac:dyDescent="0.2">
      <c r="A84" s="369"/>
      <c r="B84" s="369"/>
      <c r="C84" s="1024">
        <f>C82-C83</f>
        <v>1.999999993131496E-3</v>
      </c>
      <c r="D84" s="369"/>
      <c r="E84" s="369"/>
      <c r="F84" s="369"/>
      <c r="G84" s="369"/>
      <c r="H84" s="369"/>
      <c r="I84" s="448">
        <f>'[12]Actuals apprd'!$F$118</f>
        <v>15170.821794060859</v>
      </c>
      <c r="M84" s="448">
        <f>'[12]Actuals apprd'!$N$118</f>
        <v>8468.5917606985859</v>
      </c>
      <c r="O84" s="1002"/>
    </row>
    <row r="85" spans="1:29" hidden="1" x14ac:dyDescent="0.2">
      <c r="A85" s="369"/>
      <c r="B85" s="369"/>
      <c r="C85" s="369"/>
      <c r="D85" s="369"/>
      <c r="E85" s="369"/>
      <c r="F85" s="369"/>
      <c r="G85" s="1024">
        <f>G13+G35+G37+G51+G55+G75+G77+G78+G79+G80</f>
        <v>21859.965976953998</v>
      </c>
      <c r="H85" s="369"/>
      <c r="O85" s="1002"/>
      <c r="P85">
        <v>32114.97</v>
      </c>
      <c r="T85" s="448" t="e">
        <f>T83-G82</f>
        <v>#REF!</v>
      </c>
    </row>
    <row r="86" spans="1:29" hidden="1" x14ac:dyDescent="0.2">
      <c r="A86" s="369"/>
      <c r="B86" s="369"/>
      <c r="C86" s="369"/>
      <c r="D86" s="369"/>
      <c r="E86" s="369"/>
      <c r="F86" s="369"/>
      <c r="G86" s="1024">
        <f>G82-G85</f>
        <v>0</v>
      </c>
      <c r="H86" s="369"/>
      <c r="I86" s="448" t="e">
        <f>I82-I84</f>
        <v>#REF!</v>
      </c>
      <c r="M86" s="448" t="e">
        <f>M82-M84</f>
        <v>#REF!</v>
      </c>
      <c r="O86" s="1002"/>
      <c r="P86" s="448" t="e">
        <f>P83-P85</f>
        <v>#REF!</v>
      </c>
    </row>
    <row r="87" spans="1:29" hidden="1" x14ac:dyDescent="0.2">
      <c r="A87" s="369"/>
      <c r="B87" s="369"/>
      <c r="C87" s="369"/>
      <c r="D87" s="369"/>
      <c r="E87" s="369"/>
      <c r="F87" s="369"/>
      <c r="G87" s="369"/>
      <c r="H87" s="369"/>
      <c r="O87" s="1002"/>
    </row>
    <row r="88" spans="1:29" hidden="1" x14ac:dyDescent="0.2">
      <c r="A88" s="369"/>
      <c r="B88" s="369"/>
      <c r="C88" s="369"/>
      <c r="D88" s="369"/>
      <c r="E88" s="369"/>
      <c r="F88" s="369"/>
      <c r="G88" s="369">
        <f>22096+19.68</f>
        <v>22115.68</v>
      </c>
      <c r="H88" s="369">
        <f>G88/C82*10</f>
        <v>6.2312290524861584</v>
      </c>
      <c r="O88" s="1002"/>
    </row>
    <row r="89" spans="1:29" hidden="1" x14ac:dyDescent="0.2">
      <c r="O89" s="1002"/>
    </row>
    <row r="90" spans="1:29" hidden="1" x14ac:dyDescent="0.2">
      <c r="O90" s="1002"/>
    </row>
    <row r="91" spans="1:29" ht="18.75" x14ac:dyDescent="0.3">
      <c r="A91" s="1012" t="s">
        <v>1062</v>
      </c>
      <c r="O91" s="1002"/>
    </row>
    <row r="92" spans="1:29" ht="15" x14ac:dyDescent="0.25">
      <c r="A92" s="366" t="s">
        <v>1063</v>
      </c>
      <c r="O92" s="1002"/>
    </row>
    <row r="93" spans="1:29" x14ac:dyDescent="0.2">
      <c r="A93" s="1823" t="s">
        <v>1084</v>
      </c>
      <c r="B93" s="1823"/>
      <c r="C93" s="1823"/>
      <c r="D93" s="1823"/>
      <c r="E93" s="1823"/>
      <c r="F93" s="1823"/>
      <c r="G93" s="1823"/>
      <c r="H93" s="1823"/>
      <c r="O93" s="1002"/>
    </row>
    <row r="94" spans="1:29" ht="15" x14ac:dyDescent="0.25">
      <c r="A94" s="366" t="s">
        <v>1065</v>
      </c>
      <c r="O94" s="1002"/>
    </row>
    <row r="95" spans="1:29" x14ac:dyDescent="0.2">
      <c r="A95" s="1823" t="s">
        <v>1085</v>
      </c>
      <c r="B95" s="1823"/>
      <c r="C95" s="1823"/>
      <c r="D95" s="1823"/>
      <c r="E95" s="1823"/>
      <c r="F95" s="1823"/>
      <c r="G95" s="1823"/>
      <c r="H95" s="1823"/>
      <c r="O95" s="1002"/>
    </row>
    <row r="96" spans="1:29" ht="15" x14ac:dyDescent="0.25">
      <c r="A96" s="366" t="s">
        <v>1067</v>
      </c>
      <c r="O96" s="1002"/>
    </row>
    <row r="97" spans="1:15" x14ac:dyDescent="0.2">
      <c r="A97" s="1823" t="s">
        <v>1086</v>
      </c>
      <c r="B97" s="1823"/>
      <c r="C97" s="1823"/>
      <c r="D97" s="1823"/>
      <c r="E97" s="1823"/>
      <c r="F97" s="1823"/>
      <c r="G97" s="1823"/>
      <c r="H97" s="1823"/>
      <c r="O97" s="1002"/>
    </row>
    <row r="98" spans="1:15" ht="15" x14ac:dyDescent="0.25">
      <c r="A98" s="1013" t="s">
        <v>1069</v>
      </c>
      <c r="B98" s="668"/>
      <c r="C98" s="668"/>
      <c r="D98" s="668"/>
      <c r="E98" s="668"/>
      <c r="F98" s="668"/>
      <c r="G98" s="668"/>
      <c r="H98" s="668"/>
      <c r="O98" s="1002"/>
    </row>
    <row r="99" spans="1:15" x14ac:dyDescent="0.2">
      <c r="A99" s="1821" t="s">
        <v>1087</v>
      </c>
      <c r="B99" s="1821"/>
      <c r="C99" s="1821"/>
      <c r="D99" s="1821"/>
      <c r="E99" s="1821"/>
      <c r="F99" s="1821"/>
      <c r="G99" s="1821"/>
      <c r="H99" s="1821"/>
      <c r="O99" s="1002"/>
    </row>
    <row r="100" spans="1:15" x14ac:dyDescent="0.2">
      <c r="A100" s="1821" t="s">
        <v>1071</v>
      </c>
      <c r="B100" s="1821"/>
      <c r="C100" s="1821"/>
      <c r="D100" s="1821"/>
      <c r="E100" s="1821"/>
      <c r="F100" s="1821"/>
      <c r="G100" s="1821"/>
      <c r="H100" s="1821"/>
      <c r="O100" s="1002"/>
    </row>
    <row r="101" spans="1:15" ht="15" x14ac:dyDescent="0.25">
      <c r="A101" s="1013" t="s">
        <v>1072</v>
      </c>
      <c r="B101" s="668"/>
      <c r="C101" s="668"/>
      <c r="D101" s="668"/>
      <c r="E101" s="668"/>
      <c r="F101" s="668"/>
      <c r="G101" s="668"/>
      <c r="H101" s="668"/>
      <c r="O101" s="1002"/>
    </row>
    <row r="102" spans="1:15" x14ac:dyDescent="0.2">
      <c r="A102" s="1821" t="s">
        <v>1073</v>
      </c>
      <c r="B102" s="1821"/>
      <c r="C102" s="1821"/>
      <c r="D102" s="1821"/>
      <c r="E102" s="1821"/>
      <c r="F102" s="1821"/>
      <c r="G102" s="1821"/>
      <c r="H102" s="1821"/>
      <c r="O102" s="1002"/>
    </row>
    <row r="103" spans="1:15" ht="15" x14ac:dyDescent="0.2">
      <c r="A103" s="1015" t="s">
        <v>1074</v>
      </c>
      <c r="B103" s="1014"/>
      <c r="C103" s="1014"/>
      <c r="D103" s="1014"/>
      <c r="E103" s="1014"/>
      <c r="F103" s="1014"/>
      <c r="G103" s="1014"/>
      <c r="H103" s="1014"/>
      <c r="O103" s="1002"/>
    </row>
    <row r="104" spans="1:15" x14ac:dyDescent="0.2">
      <c r="A104" s="1821" t="s">
        <v>1088</v>
      </c>
      <c r="B104" s="1821"/>
      <c r="C104" s="1821"/>
      <c r="D104" s="1821"/>
      <c r="E104" s="1821"/>
      <c r="F104" s="1821"/>
      <c r="G104" s="1821"/>
      <c r="H104" s="1821"/>
      <c r="O104" s="1002"/>
    </row>
    <row r="105" spans="1:15" x14ac:dyDescent="0.2">
      <c r="A105" s="1821" t="s">
        <v>1089</v>
      </c>
      <c r="B105" s="1821"/>
      <c r="C105" s="1821"/>
      <c r="D105" s="1821"/>
      <c r="E105" s="1821"/>
      <c r="F105" s="1821"/>
      <c r="G105" s="1821"/>
      <c r="H105" s="1821"/>
      <c r="O105" s="1002"/>
    </row>
    <row r="106" spans="1:15" ht="15" x14ac:dyDescent="0.2">
      <c r="A106" s="1015" t="s">
        <v>1077</v>
      </c>
      <c r="B106" s="1014"/>
      <c r="C106" s="1014"/>
      <c r="D106" s="1014"/>
      <c r="E106" s="1014"/>
      <c r="F106" s="1014"/>
      <c r="G106" s="1014"/>
      <c r="H106" s="1014"/>
      <c r="O106" s="1002"/>
    </row>
    <row r="107" spans="1:15" x14ac:dyDescent="0.2">
      <c r="A107" s="1821" t="s">
        <v>1078</v>
      </c>
      <c r="B107" s="1821"/>
      <c r="C107" s="1821"/>
      <c r="D107" s="1821"/>
      <c r="E107" s="1821"/>
      <c r="F107" s="1821"/>
      <c r="G107" s="1821"/>
      <c r="H107" s="1821"/>
      <c r="O107" s="1002"/>
    </row>
    <row r="108" spans="1:15" ht="15" x14ac:dyDescent="0.2">
      <c r="A108" s="1822" t="s">
        <v>1079</v>
      </c>
      <c r="B108" s="1822"/>
      <c r="C108" s="1822"/>
      <c r="D108" s="1822"/>
      <c r="E108" s="1822"/>
      <c r="F108" s="1822"/>
      <c r="G108" s="1822"/>
      <c r="H108" s="1822"/>
      <c r="O108" s="1002"/>
    </row>
    <row r="109" spans="1:15" x14ac:dyDescent="0.2">
      <c r="O109" s="1002"/>
    </row>
    <row r="110" spans="1:15" x14ac:dyDescent="0.2">
      <c r="O110" s="1002"/>
    </row>
  </sheetData>
  <mergeCells count="16">
    <mergeCell ref="A1:AA1"/>
    <mergeCell ref="A2:AA2"/>
    <mergeCell ref="B3:H3"/>
    <mergeCell ref="I3:N3"/>
    <mergeCell ref="P3:U3"/>
    <mergeCell ref="V3:AA3"/>
    <mergeCell ref="A104:H104"/>
    <mergeCell ref="A105:H105"/>
    <mergeCell ref="A107:H107"/>
    <mergeCell ref="A108:H108"/>
    <mergeCell ref="A93:H93"/>
    <mergeCell ref="A95:H95"/>
    <mergeCell ref="A97:H97"/>
    <mergeCell ref="A99:H99"/>
    <mergeCell ref="A100:H100"/>
    <mergeCell ref="A102:H10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8"/>
  <sheetViews>
    <sheetView topLeftCell="A67" workbookViewId="0">
      <selection activeCell="BA81" sqref="BA81"/>
    </sheetView>
  </sheetViews>
  <sheetFormatPr defaultRowHeight="12.75" x14ac:dyDescent="0.2"/>
  <cols>
    <col min="1" max="1" width="35.5703125" customWidth="1"/>
    <col min="2" max="2" width="11.140625" hidden="1" customWidth="1"/>
    <col min="3" max="3" width="11.140625" customWidth="1"/>
    <col min="4" max="4" width="11.5703125" customWidth="1"/>
    <col min="5" max="5" width="12" customWidth="1"/>
    <col min="6" max="8" width="11.140625" customWidth="1"/>
    <col min="9" max="9" width="12.85546875" hidden="1" customWidth="1"/>
    <col min="10" max="10" width="11" hidden="1" customWidth="1"/>
    <col min="11" max="11" width="14.85546875" hidden="1" customWidth="1"/>
    <col min="12" max="12" width="12.7109375" hidden="1" customWidth="1"/>
    <col min="13" max="13" width="11.140625" hidden="1" customWidth="1"/>
    <col min="14" max="14" width="10.42578125" hidden="1" customWidth="1"/>
    <col min="15" max="15" width="10.42578125" style="1002" hidden="1" customWidth="1"/>
    <col min="16" max="16" width="9.140625" hidden="1" customWidth="1"/>
    <col min="17" max="17" width="10" hidden="1" customWidth="1"/>
    <col min="18" max="18" width="9.140625" hidden="1" customWidth="1"/>
    <col min="19" max="19" width="9.5703125" hidden="1" customWidth="1"/>
    <col min="20" max="20" width="10.140625" hidden="1" customWidth="1"/>
    <col min="21" max="21" width="11.140625" hidden="1" customWidth="1"/>
    <col min="22" max="22" width="9.5703125" hidden="1" customWidth="1"/>
    <col min="23" max="24" width="9.140625" hidden="1" customWidth="1"/>
    <col min="25" max="25" width="10" hidden="1" customWidth="1"/>
    <col min="26" max="26" width="9.140625" hidden="1" customWidth="1"/>
    <col min="27" max="27" width="9.5703125" hidden="1" customWidth="1"/>
    <col min="28" max="29" width="9.140625" hidden="1" customWidth="1"/>
    <col min="30" max="30" width="9.140625" customWidth="1"/>
    <col min="31" max="39" width="9.140625" hidden="1" customWidth="1"/>
    <col min="40" max="44" width="0" hidden="1" customWidth="1"/>
  </cols>
  <sheetData>
    <row r="1" spans="1:43" ht="15.75" x14ac:dyDescent="0.25">
      <c r="A1" s="1814" t="s">
        <v>341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814"/>
      <c r="R1" s="1814"/>
      <c r="S1" s="1814"/>
      <c r="T1" s="1814"/>
      <c r="U1" s="1814"/>
      <c r="V1" s="1814"/>
      <c r="W1" s="1814"/>
      <c r="X1" s="1814"/>
      <c r="Y1" s="1814"/>
      <c r="Z1" s="1814"/>
      <c r="AA1" s="1814"/>
    </row>
    <row r="2" spans="1:43" ht="15.75" x14ac:dyDescent="0.2">
      <c r="A2" s="1815" t="s">
        <v>1090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6"/>
      <c r="Z2" s="1816"/>
      <c r="AA2" s="1816"/>
    </row>
    <row r="3" spans="1:43" ht="15.75" customHeight="1" x14ac:dyDescent="0.2">
      <c r="A3" s="961"/>
      <c r="B3" s="1817" t="s">
        <v>1042</v>
      </c>
      <c r="C3" s="1817"/>
      <c r="D3" s="1817"/>
      <c r="E3" s="1817"/>
      <c r="F3" s="1817"/>
      <c r="G3" s="1817"/>
      <c r="H3" s="1824"/>
      <c r="I3" s="1819" t="s">
        <v>955</v>
      </c>
      <c r="J3" s="1820"/>
      <c r="K3" s="1820"/>
      <c r="L3" s="1820"/>
      <c r="M3" s="1820"/>
      <c r="N3" s="1820"/>
      <c r="O3" s="962"/>
      <c r="P3" s="1819" t="s">
        <v>956</v>
      </c>
      <c r="Q3" s="1820"/>
      <c r="R3" s="1820"/>
      <c r="S3" s="1820"/>
      <c r="T3" s="1820"/>
      <c r="U3" s="1820"/>
      <c r="V3" s="1819" t="s">
        <v>957</v>
      </c>
      <c r="W3" s="1820"/>
      <c r="X3" s="1820"/>
      <c r="Y3" s="1820"/>
      <c r="Z3" s="1820"/>
      <c r="AA3" s="1820"/>
    </row>
    <row r="4" spans="1:43" ht="76.5" x14ac:dyDescent="0.2">
      <c r="A4" s="963" t="s">
        <v>958</v>
      </c>
      <c r="B4" s="963" t="s">
        <v>959</v>
      </c>
      <c r="C4" s="964" t="s">
        <v>1061</v>
      </c>
      <c r="D4" s="964" t="s">
        <v>961</v>
      </c>
      <c r="E4" s="965" t="s">
        <v>962</v>
      </c>
      <c r="F4" s="965" t="s">
        <v>963</v>
      </c>
      <c r="G4" s="966" t="s">
        <v>964</v>
      </c>
      <c r="H4" s="968" t="s">
        <v>965</v>
      </c>
      <c r="I4" s="967" t="s">
        <v>966</v>
      </c>
      <c r="J4" s="967" t="s">
        <v>961</v>
      </c>
      <c r="K4" s="968" t="s">
        <v>962</v>
      </c>
      <c r="L4" s="968" t="s">
        <v>963</v>
      </c>
      <c r="M4" s="968" t="s">
        <v>964</v>
      </c>
      <c r="N4" s="968" t="s">
        <v>965</v>
      </c>
      <c r="O4" s="969"/>
      <c r="P4" s="967" t="s">
        <v>967</v>
      </c>
      <c r="Q4" s="967" t="s">
        <v>968</v>
      </c>
      <c r="R4" s="968" t="s">
        <v>962</v>
      </c>
      <c r="S4" s="967" t="s">
        <v>969</v>
      </c>
      <c r="T4" s="967" t="s">
        <v>970</v>
      </c>
      <c r="U4" s="968" t="s">
        <v>965</v>
      </c>
      <c r="V4" s="967" t="s">
        <v>967</v>
      </c>
      <c r="W4" s="967" t="s">
        <v>961</v>
      </c>
      <c r="X4" s="968" t="s">
        <v>962</v>
      </c>
      <c r="Y4" s="968" t="s">
        <v>963</v>
      </c>
      <c r="Z4" s="968" t="s">
        <v>964</v>
      </c>
      <c r="AA4" s="967" t="s">
        <v>971</v>
      </c>
      <c r="AN4" t="s">
        <v>1058</v>
      </c>
      <c r="AP4" t="s">
        <v>1059</v>
      </c>
    </row>
    <row r="5" spans="1:43" ht="15.75" x14ac:dyDescent="0.25">
      <c r="A5" s="970" t="s">
        <v>972</v>
      </c>
      <c r="B5" s="971"/>
      <c r="C5" s="971"/>
      <c r="D5" s="971"/>
      <c r="E5" s="971"/>
      <c r="F5" s="971"/>
      <c r="G5" s="972"/>
      <c r="H5" s="997"/>
      <c r="I5" s="361"/>
      <c r="J5" s="361"/>
      <c r="K5" s="361"/>
      <c r="L5" s="361"/>
      <c r="M5" s="361"/>
      <c r="N5" s="361"/>
      <c r="O5" s="97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</row>
    <row r="6" spans="1:43" ht="31.5" x14ac:dyDescent="0.2">
      <c r="A6" s="974" t="s">
        <v>973</v>
      </c>
      <c r="B6" s="975">
        <v>68.400000000000006</v>
      </c>
      <c r="C6" s="976">
        <f>ROUND(AE6,2)+300</f>
        <v>5341.18</v>
      </c>
      <c r="D6" s="976">
        <f>73.12*68.4%*12</f>
        <v>600.16896000000008</v>
      </c>
      <c r="E6" s="976">
        <f t="shared" ref="E6:E11" si="0">ROUND(AH6,2)</f>
        <v>3.99</v>
      </c>
      <c r="F6" s="976">
        <f>C6*E6/10</f>
        <v>2131.1308200000003</v>
      </c>
      <c r="G6" s="977">
        <f>D6+F6</f>
        <v>2731.2997800000003</v>
      </c>
      <c r="H6" s="998">
        <f>G6/C6*10</f>
        <v>5.1136636099139139</v>
      </c>
      <c r="I6" s="446">
        <f>'[12]Actuals apprd'!$F$26</f>
        <v>2187.0794839999999</v>
      </c>
      <c r="J6" s="446">
        <f>'[12]Actuals apprd'!$G$26</f>
        <v>199.35710812761926</v>
      </c>
      <c r="K6" s="446">
        <f>L6/I6*10</f>
        <v>3.4834111053434489</v>
      </c>
      <c r="L6" s="446">
        <f>'[12]Actuals apprd'!$H$26</f>
        <v>761.84969628344197</v>
      </c>
      <c r="M6" s="446">
        <f t="shared" ref="M6:M11" si="1">J6+L6</f>
        <v>961.20680441106128</v>
      </c>
      <c r="N6" s="446">
        <f>M6/I6*10</f>
        <v>4.3949331125958349</v>
      </c>
      <c r="O6" s="978">
        <f>C6-(C6*0.97%)</f>
        <v>5289.3705540000001</v>
      </c>
      <c r="P6" s="446">
        <f>O6-I6</f>
        <v>3102.2910700000002</v>
      </c>
      <c r="Q6" s="446">
        <f>J6</f>
        <v>199.35710812761926</v>
      </c>
      <c r="R6" s="446"/>
      <c r="S6" s="446">
        <f>P6*K6/10</f>
        <v>1080.6555165245811</v>
      </c>
      <c r="T6" s="446">
        <f>Q6+S6</f>
        <v>1280.0126246522004</v>
      </c>
      <c r="U6" s="446">
        <f>T6/P6*10</f>
        <v>4.1260236250243292</v>
      </c>
      <c r="V6" s="446">
        <f>I6+P6</f>
        <v>5289.3705540000001</v>
      </c>
      <c r="W6" s="447">
        <f>J6+Q6</f>
        <v>398.71421625523851</v>
      </c>
      <c r="X6" s="447">
        <f>Y6/V6*10</f>
        <v>3.4834111053434489</v>
      </c>
      <c r="Y6" s="447">
        <f t="shared" ref="Y6:Y13" si="2">L6+S6</f>
        <v>1842.5052128080231</v>
      </c>
      <c r="Z6" s="447">
        <f>Y6+W6</f>
        <v>2241.2194290632615</v>
      </c>
      <c r="AA6" s="447">
        <f>Z6/V6*10</f>
        <v>4.2372138729595639</v>
      </c>
      <c r="AC6" s="448">
        <f>(P6+I6)-O6</f>
        <v>0</v>
      </c>
      <c r="AE6">
        <f t="shared" ref="AE6:AE11" si="3">(AF6*3%)+AF6</f>
        <v>5041.1805000000004</v>
      </c>
      <c r="AF6" s="448">
        <f>'[13]FY 21'!C6</f>
        <v>4894.3500000000004</v>
      </c>
      <c r="AG6" s="448">
        <f>'[13]FY 21'!E6</f>
        <v>3.87</v>
      </c>
      <c r="AH6">
        <f>(AG6*3%)+AG6</f>
        <v>3.9861</v>
      </c>
      <c r="AI6" s="448">
        <f>AG6-AH6</f>
        <v>-0.11609999999999987</v>
      </c>
      <c r="AJ6" s="448">
        <f>H6-AH6</f>
        <v>1.1275636099139139</v>
      </c>
      <c r="AN6">
        <f>D6/C6*10</f>
        <v>1.1236636099139143</v>
      </c>
      <c r="AO6" s="448">
        <f>AP6-AN6</f>
        <v>3.7787363900860855</v>
      </c>
      <c r="AP6">
        <v>4.9024000000000001</v>
      </c>
      <c r="AQ6" s="976">
        <v>4574.16</v>
      </c>
    </row>
    <row r="7" spans="1:43" ht="31.5" x14ac:dyDescent="0.2">
      <c r="A7" s="974" t="s">
        <v>974</v>
      </c>
      <c r="B7" s="975">
        <v>66</v>
      </c>
      <c r="C7" s="976">
        <f>ROUND(AE7,2)</f>
        <v>928.03</v>
      </c>
      <c r="D7" s="976">
        <f>232.66*66%</f>
        <v>153.5556</v>
      </c>
      <c r="E7" s="976">
        <f t="shared" si="0"/>
        <v>3.86</v>
      </c>
      <c r="F7" s="976">
        <f t="shared" ref="F7:F12" si="4">C7*E7/10</f>
        <v>358.21958000000001</v>
      </c>
      <c r="G7" s="977">
        <f t="shared" ref="G7:G12" si="5">D7+F7</f>
        <v>511.77517999999998</v>
      </c>
      <c r="H7" s="998">
        <f t="shared" ref="H7:H13" si="6">G7/C7*10</f>
        <v>5.5146404749846445</v>
      </c>
      <c r="I7" s="446">
        <f>'[12]Actuals apprd'!F27</f>
        <v>380.54055399999999</v>
      </c>
      <c r="J7" s="446">
        <f>'[12]Actuals apprd'!G27</f>
        <v>74.957227425882365</v>
      </c>
      <c r="K7" s="446">
        <f t="shared" ref="K7:K12" si="7">L7/I7*10</f>
        <v>3.3491756833885304</v>
      </c>
      <c r="L7" s="446">
        <f>'[12]Actuals apprd'!H27</f>
        <v>127.44971700000001</v>
      </c>
      <c r="M7" s="446">
        <f t="shared" si="1"/>
        <v>202.40694442588239</v>
      </c>
      <c r="N7" s="446">
        <f t="shared" ref="N7:N12" si="8">M7/I7*10</f>
        <v>5.31893230033723</v>
      </c>
      <c r="O7" s="978">
        <f t="shared" ref="O7:O12" si="9">C7-(C7*0.97%)</f>
        <v>919.02810899999997</v>
      </c>
      <c r="P7" s="446">
        <f t="shared" ref="P7:P12" si="10">O7-I7</f>
        <v>538.48755499999993</v>
      </c>
      <c r="Q7" s="446">
        <f>J7</f>
        <v>74.957227425882365</v>
      </c>
      <c r="R7" s="446"/>
      <c r="S7" s="446">
        <f t="shared" ref="S7:S12" si="11">P7*K7/10</f>
        <v>180.34894250133436</v>
      </c>
      <c r="T7" s="446">
        <f t="shared" ref="T7:T12" si="12">Q7+S7</f>
        <v>255.30616992721673</v>
      </c>
      <c r="U7" s="446">
        <f t="shared" ref="U7:U13" si="13">T7/P7*10</f>
        <v>4.7411712221876092</v>
      </c>
      <c r="V7" s="446">
        <f t="shared" ref="V7:W77" si="14">I7+P7</f>
        <v>919.02810899999986</v>
      </c>
      <c r="W7" s="447">
        <f t="shared" si="14"/>
        <v>149.91445485176473</v>
      </c>
      <c r="X7" s="447">
        <f>Y7/V7*10</f>
        <v>3.3491756833885313</v>
      </c>
      <c r="Y7" s="447">
        <f t="shared" si="2"/>
        <v>307.79865950133438</v>
      </c>
      <c r="Z7" s="447">
        <f t="shared" ref="Z7:Z75" si="15">Y7+W7</f>
        <v>457.71311435309912</v>
      </c>
      <c r="AA7" s="447">
        <f t="shared" ref="AA7:AA75" si="16">Z7/V7*10</f>
        <v>4.9804038621967681</v>
      </c>
      <c r="AC7" s="448">
        <f t="shared" ref="AC7:AC75" si="17">(P7+I7)-O7</f>
        <v>0</v>
      </c>
      <c r="AE7">
        <f t="shared" si="3"/>
        <v>928.03</v>
      </c>
      <c r="AF7" s="448">
        <f>'[13]FY 21'!C7</f>
        <v>901</v>
      </c>
      <c r="AG7" s="448">
        <f>'[13]FY 21'!E7</f>
        <v>3.75</v>
      </c>
      <c r="AH7">
        <f t="shared" ref="AH7:AH12" si="18">(AG7*3%)+AG7</f>
        <v>3.8624999999999998</v>
      </c>
      <c r="AI7" s="448">
        <f t="shared" ref="AI7:AI12" si="19">AG7-AH7</f>
        <v>-0.11249999999999982</v>
      </c>
      <c r="AN7">
        <f t="shared" ref="AN7:AN13" si="20">D7/C7*10</f>
        <v>1.6546404749846451</v>
      </c>
      <c r="AO7" s="448">
        <f t="shared" ref="AO7:AO12" si="21">AP7-AN7</f>
        <v>3.7463595250153547</v>
      </c>
      <c r="AP7">
        <v>5.4009999999999998</v>
      </c>
      <c r="AQ7" s="976">
        <v>850</v>
      </c>
    </row>
    <row r="8" spans="1:43" ht="31.5" x14ac:dyDescent="0.2">
      <c r="A8" s="974" t="s">
        <v>975</v>
      </c>
      <c r="B8" s="975">
        <v>66</v>
      </c>
      <c r="C8" s="976">
        <f>AF8+96+100</f>
        <v>1351</v>
      </c>
      <c r="D8" s="976">
        <f>336.16*66%</f>
        <v>221.86560000000003</v>
      </c>
      <c r="E8" s="976">
        <f t="shared" si="0"/>
        <v>3.61</v>
      </c>
      <c r="F8" s="976">
        <f t="shared" si="4"/>
        <v>487.71099999999996</v>
      </c>
      <c r="G8" s="977">
        <f t="shared" si="5"/>
        <v>709.57659999999998</v>
      </c>
      <c r="H8" s="998">
        <f t="shared" si="6"/>
        <v>5.2522324204293112</v>
      </c>
      <c r="I8" s="446">
        <f>'[12]Actuals apprd'!F28</f>
        <v>435.21521999999999</v>
      </c>
      <c r="J8" s="446">
        <f>'[12]Actuals apprd'!G28</f>
        <v>95.780255998489679</v>
      </c>
      <c r="K8" s="446">
        <f t="shared" si="7"/>
        <v>3.8531106790735374</v>
      </c>
      <c r="L8" s="446">
        <f>'[12]Actuals apprd'!H28</f>
        <v>167.69324118773389</v>
      </c>
      <c r="M8" s="446">
        <f t="shared" si="1"/>
        <v>263.47349718622354</v>
      </c>
      <c r="N8" s="446">
        <f t="shared" si="8"/>
        <v>6.0538668014924557</v>
      </c>
      <c r="O8" s="978">
        <f>C8-(C8*0.97%)-200</f>
        <v>1137.8952999999999</v>
      </c>
      <c r="P8" s="446">
        <f>O8-I8-0.86</f>
        <v>701.82007999999985</v>
      </c>
      <c r="Q8" s="446">
        <f>J8</f>
        <v>95.780255998489679</v>
      </c>
      <c r="R8" s="446"/>
      <c r="S8" s="446">
        <f t="shared" si="11"/>
        <v>270.41904450362438</v>
      </c>
      <c r="T8" s="446">
        <f t="shared" si="12"/>
        <v>366.19930050211406</v>
      </c>
      <c r="U8" s="446">
        <f t="shared" si="13"/>
        <v>5.2178515681984203</v>
      </c>
      <c r="V8" s="446">
        <f t="shared" si="14"/>
        <v>1137.0352999999998</v>
      </c>
      <c r="W8" s="447">
        <f t="shared" si="14"/>
        <v>191.56051199697936</v>
      </c>
      <c r="X8" s="447">
        <f>Y8/V8*10</f>
        <v>3.8531106790735374</v>
      </c>
      <c r="Y8" s="447">
        <f t="shared" si="2"/>
        <v>438.11228569135824</v>
      </c>
      <c r="Z8" s="447">
        <f t="shared" si="15"/>
        <v>629.6727976883376</v>
      </c>
      <c r="AA8" s="447">
        <f t="shared" si="16"/>
        <v>5.5378473974232616</v>
      </c>
      <c r="AC8" s="448">
        <f t="shared" si="17"/>
        <v>-0.86000000000012733</v>
      </c>
      <c r="AE8">
        <f t="shared" si="3"/>
        <v>1189.6500000000001</v>
      </c>
      <c r="AF8" s="448">
        <f>'[13]FY 21'!C8</f>
        <v>1155</v>
      </c>
      <c r="AG8" s="448">
        <f>'[13]FY 21'!E8</f>
        <v>3.5</v>
      </c>
      <c r="AH8">
        <f t="shared" si="18"/>
        <v>3.605</v>
      </c>
      <c r="AI8" s="448">
        <f t="shared" si="19"/>
        <v>-0.10499999999999998</v>
      </c>
      <c r="AN8">
        <f t="shared" si="20"/>
        <v>1.6422324204293117</v>
      </c>
      <c r="AO8" s="448">
        <f t="shared" si="21"/>
        <v>3.5577675795706885</v>
      </c>
      <c r="AP8">
        <v>5.2</v>
      </c>
      <c r="AQ8" s="976">
        <v>800</v>
      </c>
    </row>
    <row r="9" spans="1:43" ht="31.5" x14ac:dyDescent="0.2">
      <c r="A9" s="974" t="s">
        <v>976</v>
      </c>
      <c r="B9" s="975">
        <v>66</v>
      </c>
      <c r="C9" s="976">
        <f>AF9+96+100</f>
        <v>1373</v>
      </c>
      <c r="D9" s="1005">
        <f>540*66%</f>
        <v>356.40000000000003</v>
      </c>
      <c r="E9" s="1005">
        <f t="shared" si="0"/>
        <v>3.45</v>
      </c>
      <c r="F9" s="1005">
        <f t="shared" si="4"/>
        <v>473.68500000000006</v>
      </c>
      <c r="G9" s="1006">
        <f t="shared" si="5"/>
        <v>830.08500000000004</v>
      </c>
      <c r="H9" s="1007">
        <f t="shared" si="6"/>
        <v>6.0457756737072108</v>
      </c>
      <c r="I9" s="446">
        <f>'[12]Actuals apprd'!F29</f>
        <v>237.66468</v>
      </c>
      <c r="J9" s="446">
        <f>'[12]Actuals apprd'!G29</f>
        <v>151.585751526</v>
      </c>
      <c r="K9" s="446">
        <f t="shared" si="7"/>
        <v>3.3921436084065997</v>
      </c>
      <c r="L9" s="446">
        <f>'[12]Actuals apprd'!H29</f>
        <v>80.619272520599992</v>
      </c>
      <c r="M9" s="446">
        <f t="shared" si="1"/>
        <v>232.20502404659999</v>
      </c>
      <c r="N9" s="446">
        <f t="shared" si="8"/>
        <v>9.7702790354292439</v>
      </c>
      <c r="O9" s="978">
        <f>C9-(C9*0.97%)</f>
        <v>1359.6819</v>
      </c>
      <c r="P9" s="446">
        <f>O9-I9-95.51</f>
        <v>1026.50722</v>
      </c>
      <c r="Q9" s="446">
        <f>J9</f>
        <v>151.585751526</v>
      </c>
      <c r="R9" s="446"/>
      <c r="S9" s="446">
        <f t="shared" si="11"/>
        <v>348.20599053062267</v>
      </c>
      <c r="T9" s="446">
        <f t="shared" si="12"/>
        <v>499.79174205662264</v>
      </c>
      <c r="U9" s="446">
        <f t="shared" si="13"/>
        <v>4.8688575425375253</v>
      </c>
      <c r="V9" s="446">
        <f t="shared" si="14"/>
        <v>1264.1719000000001</v>
      </c>
      <c r="W9" s="447">
        <f t="shared" si="14"/>
        <v>303.17150305199999</v>
      </c>
      <c r="X9" s="447">
        <f>Y9/V9*10</f>
        <v>3.3921436084065992</v>
      </c>
      <c r="Y9" s="447">
        <f t="shared" si="2"/>
        <v>428.82526305122269</v>
      </c>
      <c r="Z9" s="447">
        <f t="shared" si="15"/>
        <v>731.99676610322263</v>
      </c>
      <c r="AA9" s="447">
        <f t="shared" si="16"/>
        <v>5.7903261898419247</v>
      </c>
      <c r="AC9" s="448">
        <f t="shared" si="17"/>
        <v>-95.509999999999991</v>
      </c>
      <c r="AE9">
        <f t="shared" si="3"/>
        <v>1212.31</v>
      </c>
      <c r="AF9" s="448">
        <f>'[13]FY 21'!C9</f>
        <v>1177</v>
      </c>
      <c r="AG9" s="448">
        <f>'[13]FY 21'!E9</f>
        <v>3.35</v>
      </c>
      <c r="AH9">
        <f t="shared" si="18"/>
        <v>3.4504999999999999</v>
      </c>
      <c r="AI9" s="448">
        <f t="shared" si="19"/>
        <v>-0.10049999999999981</v>
      </c>
      <c r="AN9">
        <f t="shared" si="20"/>
        <v>2.5957756737072106</v>
      </c>
      <c r="AO9" s="448">
        <f t="shared" si="21"/>
        <v>2.504224326292789</v>
      </c>
      <c r="AP9">
        <v>5.0999999999999996</v>
      </c>
      <c r="AQ9" s="976">
        <v>881</v>
      </c>
    </row>
    <row r="10" spans="1:43" ht="31.5" x14ac:dyDescent="0.2">
      <c r="A10" s="974" t="s">
        <v>977</v>
      </c>
      <c r="B10" s="975">
        <v>66</v>
      </c>
      <c r="C10" s="976">
        <f>1375.79+100</f>
        <v>1475.79</v>
      </c>
      <c r="D10" s="1005">
        <v>665.04</v>
      </c>
      <c r="E10" s="1005">
        <f t="shared" si="0"/>
        <v>3.48</v>
      </c>
      <c r="F10" s="1005">
        <f t="shared" si="4"/>
        <v>513.57492000000002</v>
      </c>
      <c r="G10" s="1006">
        <f t="shared" si="5"/>
        <v>1178.61492</v>
      </c>
      <c r="H10" s="1007">
        <f t="shared" si="6"/>
        <v>7.986332201736019</v>
      </c>
      <c r="I10" s="446">
        <f>'[12]Actuals apprd'!F30</f>
        <v>208.600854</v>
      </c>
      <c r="J10" s="446">
        <f>'[12]Actuals apprd'!G30</f>
        <v>280.29355588235296</v>
      </c>
      <c r="K10" s="446">
        <f t="shared" si="7"/>
        <v>3.4141497330111603</v>
      </c>
      <c r="L10" s="446">
        <f>'[12]Actuals apprd'!H30</f>
        <v>71.219454999000007</v>
      </c>
      <c r="M10" s="446">
        <f t="shared" si="1"/>
        <v>351.51301088135295</v>
      </c>
      <c r="N10" s="446">
        <f t="shared" si="8"/>
        <v>16.850986184426308</v>
      </c>
      <c r="O10" s="978">
        <f t="shared" si="9"/>
        <v>1461.474837</v>
      </c>
      <c r="P10" s="446">
        <f t="shared" si="10"/>
        <v>1252.873983</v>
      </c>
      <c r="Q10" s="446">
        <f>J10</f>
        <v>280.29355588235296</v>
      </c>
      <c r="R10" s="446"/>
      <c r="S10" s="446">
        <f t="shared" si="11"/>
        <v>427.74993745560789</v>
      </c>
      <c r="T10" s="446">
        <f t="shared" si="12"/>
        <v>708.04349333796085</v>
      </c>
      <c r="U10" s="446">
        <f t="shared" si="13"/>
        <v>5.6513544294578981</v>
      </c>
      <c r="V10" s="446">
        <f t="shared" si="14"/>
        <v>1461.474837</v>
      </c>
      <c r="W10" s="447">
        <f t="shared" si="14"/>
        <v>560.58711176470592</v>
      </c>
      <c r="X10" s="447">
        <f>Y10/V10*10</f>
        <v>3.4141497330111603</v>
      </c>
      <c r="Y10" s="447">
        <f t="shared" si="2"/>
        <v>498.96939245460788</v>
      </c>
      <c r="Z10" s="447">
        <f t="shared" si="15"/>
        <v>1059.5565042193139</v>
      </c>
      <c r="AA10" s="447">
        <f t="shared" si="16"/>
        <v>7.2499127415309292</v>
      </c>
      <c r="AC10" s="448">
        <f t="shared" si="17"/>
        <v>0</v>
      </c>
      <c r="AE10">
        <f t="shared" si="3"/>
        <v>1417.0636999999999</v>
      </c>
      <c r="AF10" s="448">
        <f>'[13]FY 21'!C10</f>
        <v>1375.79</v>
      </c>
      <c r="AG10" s="448">
        <f>'[13]FY 21'!E10</f>
        <v>3.38</v>
      </c>
      <c r="AH10">
        <f t="shared" si="18"/>
        <v>3.4813999999999998</v>
      </c>
      <c r="AI10" s="448">
        <f t="shared" si="19"/>
        <v>-0.10139999999999993</v>
      </c>
      <c r="AN10">
        <f t="shared" si="20"/>
        <v>4.5063322017360194</v>
      </c>
      <c r="AO10" s="448">
        <f t="shared" si="21"/>
        <v>1.2936677982639804</v>
      </c>
      <c r="AP10">
        <v>5.8</v>
      </c>
      <c r="AQ10" s="976">
        <v>480</v>
      </c>
    </row>
    <row r="11" spans="1:43" ht="15.75" x14ac:dyDescent="0.25">
      <c r="A11" s="974" t="s">
        <v>978</v>
      </c>
      <c r="B11" s="975">
        <v>66</v>
      </c>
      <c r="C11" s="976">
        <f>ROUND(AE11,2)</f>
        <v>785.43</v>
      </c>
      <c r="D11" s="976">
        <f>2312.49*66%*70%</f>
        <v>1068.3703799999998</v>
      </c>
      <c r="E11" s="976">
        <f t="shared" si="0"/>
        <v>3.3</v>
      </c>
      <c r="F11" s="976">
        <f t="shared" si="4"/>
        <v>259.19189999999998</v>
      </c>
      <c r="G11" s="977">
        <f t="shared" si="5"/>
        <v>1327.5622799999999</v>
      </c>
      <c r="H11" s="1007">
        <v>5.633</v>
      </c>
      <c r="I11" s="446">
        <f>'[12]Actuals apprd'!F31</f>
        <v>0</v>
      </c>
      <c r="J11" s="446" t="e">
        <f>'[12]Actuals apprd'!G31</f>
        <v>#REF!</v>
      </c>
      <c r="K11" s="446" t="e">
        <f t="shared" si="7"/>
        <v>#REF!</v>
      </c>
      <c r="L11" s="446" t="e">
        <f>'[12]Actuals apprd'!H31</f>
        <v>#REF!</v>
      </c>
      <c r="M11" s="446" t="e">
        <f t="shared" si="1"/>
        <v>#REF!</v>
      </c>
      <c r="N11" s="446"/>
      <c r="O11" s="978">
        <f t="shared" si="9"/>
        <v>777.811329</v>
      </c>
      <c r="P11" s="446"/>
      <c r="Q11" s="446"/>
      <c r="R11" s="446"/>
      <c r="S11" s="446"/>
      <c r="T11" s="446"/>
      <c r="U11" s="446"/>
      <c r="V11" s="446">
        <f t="shared" si="14"/>
        <v>0</v>
      </c>
      <c r="W11" s="447" t="e">
        <f t="shared" si="14"/>
        <v>#REF!</v>
      </c>
      <c r="X11" s="447"/>
      <c r="Y11" s="447" t="e">
        <f t="shared" si="2"/>
        <v>#REF!</v>
      </c>
      <c r="Z11" s="447" t="e">
        <f t="shared" si="15"/>
        <v>#REF!</v>
      </c>
      <c r="AA11" s="447"/>
      <c r="AC11" s="448">
        <f t="shared" si="17"/>
        <v>-777.811329</v>
      </c>
      <c r="AD11" s="366"/>
      <c r="AE11">
        <f t="shared" si="3"/>
        <v>785.42649999999992</v>
      </c>
      <c r="AF11" s="448">
        <f>'[13]FY 21'!C11</f>
        <v>762.55</v>
      </c>
      <c r="AG11" s="448">
        <f>'[13]FY 21'!E11</f>
        <v>3.2</v>
      </c>
      <c r="AH11">
        <f t="shared" si="18"/>
        <v>3.2960000000000003</v>
      </c>
      <c r="AI11" s="448">
        <f t="shared" si="19"/>
        <v>-9.6000000000000085E-2</v>
      </c>
      <c r="AN11">
        <f t="shared" si="20"/>
        <v>13.602362782170275</v>
      </c>
      <c r="AO11" s="448">
        <f t="shared" si="21"/>
        <v>-7.502362782170275</v>
      </c>
      <c r="AP11">
        <v>6.1</v>
      </c>
      <c r="AQ11" s="976">
        <v>605</v>
      </c>
    </row>
    <row r="12" spans="1:43" ht="15.75" x14ac:dyDescent="0.25">
      <c r="A12" s="974" t="s">
        <v>1043</v>
      </c>
      <c r="B12" s="975">
        <v>66</v>
      </c>
      <c r="C12" s="976">
        <v>378.47</v>
      </c>
      <c r="D12" s="976">
        <v>474.76</v>
      </c>
      <c r="E12" s="976">
        <v>4.75</v>
      </c>
      <c r="F12" s="976">
        <f t="shared" si="4"/>
        <v>179.77325000000002</v>
      </c>
      <c r="G12" s="977">
        <f t="shared" si="5"/>
        <v>654.53324999999995</v>
      </c>
      <c r="H12" s="1007">
        <v>6.55</v>
      </c>
      <c r="I12" s="446">
        <f>'[12]Actuals apprd'!F32</f>
        <v>331.44078000000002</v>
      </c>
      <c r="J12" s="446">
        <v>251.74</v>
      </c>
      <c r="K12" s="446">
        <f t="shared" si="7"/>
        <v>2.3883602977279978</v>
      </c>
      <c r="L12" s="446">
        <v>79.16</v>
      </c>
      <c r="M12" s="446">
        <f>'[12]Actuals apprd'!$K$32</f>
        <v>330.90113969647058</v>
      </c>
      <c r="N12" s="446">
        <f t="shared" si="8"/>
        <v>9.9837183492167298</v>
      </c>
      <c r="O12" s="978">
        <f t="shared" si="9"/>
        <v>374.79884100000004</v>
      </c>
      <c r="P12" s="446">
        <f t="shared" si="10"/>
        <v>43.358061000000021</v>
      </c>
      <c r="Q12" s="446">
        <v>230</v>
      </c>
      <c r="R12" s="446"/>
      <c r="S12" s="446">
        <f t="shared" si="11"/>
        <v>10.355467147886873</v>
      </c>
      <c r="T12" s="446">
        <f t="shared" si="12"/>
        <v>240.35546714788688</v>
      </c>
      <c r="U12" s="446">
        <f t="shared" si="13"/>
        <v>55.435012914412098</v>
      </c>
      <c r="V12" s="446">
        <f t="shared" si="14"/>
        <v>374.79884100000004</v>
      </c>
      <c r="W12" s="447">
        <f t="shared" si="14"/>
        <v>481.74</v>
      </c>
      <c r="X12" s="447">
        <f>Y12/V12*10</f>
        <v>2.3883602977279978</v>
      </c>
      <c r="Y12" s="447">
        <f t="shared" si="2"/>
        <v>89.515467147886866</v>
      </c>
      <c r="Z12" s="447">
        <f t="shared" si="15"/>
        <v>571.25546714788686</v>
      </c>
      <c r="AA12" s="447">
        <f t="shared" si="16"/>
        <v>15.241655113546278</v>
      </c>
      <c r="AC12" s="448">
        <f t="shared" si="17"/>
        <v>0</v>
      </c>
      <c r="AD12" s="366"/>
      <c r="AE12">
        <f>(AF12*6%)+AF12</f>
        <v>401.1782</v>
      </c>
      <c r="AF12" s="448">
        <f>'[13]FY 21'!C12</f>
        <v>378.47</v>
      </c>
      <c r="AG12" s="448">
        <f>'[13]FY 21'!E12</f>
        <v>4.75</v>
      </c>
      <c r="AH12">
        <f t="shared" si="18"/>
        <v>4.8925000000000001</v>
      </c>
      <c r="AI12" s="448">
        <f t="shared" si="19"/>
        <v>-0.14250000000000007</v>
      </c>
      <c r="AN12">
        <f t="shared" si="20"/>
        <v>12.544191085158666</v>
      </c>
      <c r="AO12" s="448">
        <f t="shared" si="21"/>
        <v>-12.544191085158666</v>
      </c>
      <c r="AQ12" s="976">
        <v>510</v>
      </c>
    </row>
    <row r="13" spans="1:43" ht="15.75" x14ac:dyDescent="0.2">
      <c r="A13" s="979" t="s">
        <v>979</v>
      </c>
      <c r="B13" s="980"/>
      <c r="C13" s="981">
        <f>SUM(C6:C12)</f>
        <v>11632.9</v>
      </c>
      <c r="D13" s="981">
        <f>SUM(D6:D12)</f>
        <v>3540.1605399999999</v>
      </c>
      <c r="E13" s="981">
        <f>F13/C13*10</f>
        <v>3.7852009988910762</v>
      </c>
      <c r="F13" s="981">
        <f>SUM(F6:F12)</f>
        <v>4403.28647</v>
      </c>
      <c r="G13" s="982">
        <f>SUM(G6:G12)</f>
        <v>7943.4470099999999</v>
      </c>
      <c r="H13" s="1018">
        <f t="shared" si="6"/>
        <v>6.8284322997704781</v>
      </c>
      <c r="I13" s="983">
        <f>SUM(I6:I12)</f>
        <v>3780.5415719999996</v>
      </c>
      <c r="J13" s="983" t="e">
        <f>SUM(J6:J12)</f>
        <v>#REF!</v>
      </c>
      <c r="K13" s="983">
        <v>3.17</v>
      </c>
      <c r="L13" s="983" t="e">
        <f>SUM(L6:L12)</f>
        <v>#REF!</v>
      </c>
      <c r="M13" s="983" t="e">
        <f>SUM(M6:M12)</f>
        <v>#REF!</v>
      </c>
      <c r="N13" s="983" t="e">
        <f>M13/I13*10</f>
        <v>#REF!</v>
      </c>
      <c r="O13" s="984">
        <f t="shared" ref="O13:T13" si="22">SUM(O6:O12)</f>
        <v>11320.060869999999</v>
      </c>
      <c r="P13" s="983">
        <f t="shared" si="22"/>
        <v>6665.3379689999992</v>
      </c>
      <c r="Q13" s="983">
        <f t="shared" si="22"/>
        <v>1031.9738989603443</v>
      </c>
      <c r="R13" s="983">
        <f t="shared" si="22"/>
        <v>0</v>
      </c>
      <c r="S13" s="983">
        <f t="shared" si="22"/>
        <v>2317.7348986636571</v>
      </c>
      <c r="T13" s="983">
        <f t="shared" si="22"/>
        <v>3349.7087976240018</v>
      </c>
      <c r="U13" s="446">
        <f t="shared" si="13"/>
        <v>5.0255648148724843</v>
      </c>
      <c r="V13" s="490">
        <f t="shared" si="14"/>
        <v>10445.879540999998</v>
      </c>
      <c r="W13" s="985" t="e">
        <f t="shared" si="14"/>
        <v>#REF!</v>
      </c>
      <c r="X13" s="985"/>
      <c r="Y13" s="985" t="e">
        <f t="shared" si="2"/>
        <v>#REF!</v>
      </c>
      <c r="Z13" s="985" t="e">
        <f t="shared" si="15"/>
        <v>#REF!</v>
      </c>
      <c r="AA13" s="985" t="e">
        <f t="shared" si="16"/>
        <v>#REF!</v>
      </c>
      <c r="AC13" s="448">
        <f t="shared" si="17"/>
        <v>-874.18132900000091</v>
      </c>
      <c r="AE13" s="981">
        <f>SUM(AE6:AE12)</f>
        <v>10974.838900000001</v>
      </c>
      <c r="AN13">
        <f t="shared" si="20"/>
        <v>3.0432313008794019</v>
      </c>
    </row>
    <row r="14" spans="1:43" ht="15.75" x14ac:dyDescent="0.2">
      <c r="A14" s="974" t="s">
        <v>980</v>
      </c>
      <c r="B14" s="986"/>
      <c r="C14" s="986"/>
      <c r="D14" s="986"/>
      <c r="E14" s="986"/>
      <c r="F14" s="986"/>
      <c r="G14" s="987"/>
      <c r="H14" s="999"/>
      <c r="I14" s="445"/>
      <c r="J14" s="445"/>
      <c r="K14" s="445"/>
      <c r="L14" s="445"/>
      <c r="M14" s="445"/>
      <c r="N14" s="445"/>
      <c r="O14" s="978"/>
      <c r="P14" s="446"/>
      <c r="Q14" s="446"/>
      <c r="R14" s="446"/>
      <c r="S14" s="446"/>
      <c r="T14" s="446"/>
      <c r="U14" s="446"/>
      <c r="V14" s="446"/>
      <c r="W14" s="447"/>
      <c r="X14" s="447"/>
      <c r="Y14" s="447"/>
      <c r="Z14" s="447"/>
      <c r="AA14" s="447"/>
    </row>
    <row r="15" spans="1:43" ht="31.5" x14ac:dyDescent="0.2">
      <c r="A15" s="974" t="s">
        <v>981</v>
      </c>
      <c r="B15" s="975">
        <v>48.7226</v>
      </c>
      <c r="C15" s="976">
        <v>1236.69</v>
      </c>
      <c r="D15" s="976">
        <f>C15*AN15/10</f>
        <v>93.988439999999997</v>
      </c>
      <c r="E15" s="976">
        <f>AH15</f>
        <v>3.3229859999999998</v>
      </c>
      <c r="F15" s="976">
        <f t="shared" ref="F15:F34" si="23">C15*E15/10</f>
        <v>410.95035563399995</v>
      </c>
      <c r="G15" s="977">
        <f t="shared" ref="G15:G34" si="24">D15+F15</f>
        <v>504.93879563399992</v>
      </c>
      <c r="H15" s="998">
        <f t="shared" ref="H15:H33" si="25">G15/C15*10</f>
        <v>4.0829859999999991</v>
      </c>
      <c r="I15" s="446">
        <f>'[12]Actuals apprd'!F40</f>
        <v>577.92513024152004</v>
      </c>
      <c r="J15" s="446">
        <f>'[12]Actuals apprd'!G40</f>
        <v>41.4268961</v>
      </c>
      <c r="K15" s="446">
        <f t="shared" ref="K15:K50" si="26">L15/I15*10</f>
        <v>2.35799843905472</v>
      </c>
      <c r="L15" s="446">
        <f>'[12]Actuals apprd'!H40</f>
        <v>136.27465549999999</v>
      </c>
      <c r="M15" s="446">
        <f t="shared" ref="M15:M31" si="27">J15+L15</f>
        <v>177.70155159999999</v>
      </c>
      <c r="N15" s="446">
        <f t="shared" ref="N15:N35" si="28">M15/I15*10</f>
        <v>3.0748195968868308</v>
      </c>
      <c r="O15" s="978">
        <f>C15-(C15*0.97%)</f>
        <v>1224.694107</v>
      </c>
      <c r="P15" s="446">
        <f t="shared" ref="P15:P30" si="29">O15-I15</f>
        <v>646.76897675847999</v>
      </c>
      <c r="Q15" s="446">
        <f>J15</f>
        <v>41.4268961</v>
      </c>
      <c r="R15" s="446"/>
      <c r="S15" s="446">
        <f>P15*K15/10</f>
        <v>152.50802376255143</v>
      </c>
      <c r="T15" s="446">
        <f>Q15+S15</f>
        <v>193.93491986255142</v>
      </c>
      <c r="U15" s="446">
        <f t="shared" ref="U15:U35" si="30">T15/P15*10</f>
        <v>2.9985192059539933</v>
      </c>
      <c r="V15" s="446">
        <f t="shared" si="14"/>
        <v>1224.694107</v>
      </c>
      <c r="W15" s="447">
        <f t="shared" si="14"/>
        <v>82.853792200000001</v>
      </c>
      <c r="X15" s="447">
        <f t="shared" ref="X15:X35" si="31">Y15/V15*10</f>
        <v>2.35799843905472</v>
      </c>
      <c r="Y15" s="447">
        <f>L15+S15</f>
        <v>288.78267926255143</v>
      </c>
      <c r="Z15" s="447">
        <f t="shared" si="15"/>
        <v>371.63647146255141</v>
      </c>
      <c r="AA15" s="447">
        <f t="shared" si="16"/>
        <v>3.034524860847978</v>
      </c>
      <c r="AC15" s="448">
        <f t="shared" si="17"/>
        <v>0</v>
      </c>
      <c r="AE15">
        <f>(AF15*0%)+AF15</f>
        <v>1236.69</v>
      </c>
      <c r="AF15" s="448">
        <f>'[13]FY 21'!AF15</f>
        <v>1236.69</v>
      </c>
      <c r="AG15" s="448">
        <f>'[13]FY 20'!E15</f>
        <v>3.2262</v>
      </c>
      <c r="AH15" s="448">
        <f>(AG15*3%)+AG15</f>
        <v>3.3229859999999998</v>
      </c>
      <c r="AI15" s="448">
        <f t="shared" ref="AI15:AI33" si="32">AG15-AH15</f>
        <v>-9.6785999999999817E-2</v>
      </c>
      <c r="AN15">
        <v>0.76</v>
      </c>
      <c r="AO15">
        <f>AP15-AN15</f>
        <v>3.1962000000000002</v>
      </c>
      <c r="AP15">
        <v>3.9561999999999999</v>
      </c>
    </row>
    <row r="16" spans="1:43" ht="15.75" x14ac:dyDescent="0.2">
      <c r="A16" s="974" t="s">
        <v>982</v>
      </c>
      <c r="B16" s="975">
        <v>48.7226</v>
      </c>
      <c r="C16" s="976">
        <v>305.51</v>
      </c>
      <c r="D16" s="976">
        <f t="shared" ref="D16:D25" si="33">C16*AN16/10</f>
        <v>24.746310000000001</v>
      </c>
      <c r="E16" s="976">
        <f t="shared" ref="E16:E27" si="34">AH16</f>
        <v>2.54616</v>
      </c>
      <c r="F16" s="976">
        <f t="shared" si="23"/>
        <v>77.787734159999999</v>
      </c>
      <c r="G16" s="977">
        <f t="shared" si="24"/>
        <v>102.53404416000001</v>
      </c>
      <c r="H16" s="998">
        <f t="shared" si="25"/>
        <v>3.35616</v>
      </c>
      <c r="I16" s="446">
        <f>'[12]Actuals apprd'!F41</f>
        <v>159.922724833236</v>
      </c>
      <c r="J16" s="446">
        <f>'[12]Actuals apprd'!G41</f>
        <v>12.787189700000001</v>
      </c>
      <c r="K16" s="446">
        <f t="shared" si="26"/>
        <v>2.4350689647520816</v>
      </c>
      <c r="L16" s="446">
        <f>'[12]Actuals apprd'!H41</f>
        <v>38.9422864</v>
      </c>
      <c r="M16" s="446">
        <f t="shared" si="27"/>
        <v>51.729476099999999</v>
      </c>
      <c r="N16" s="446">
        <f t="shared" si="28"/>
        <v>3.2346544966603337</v>
      </c>
      <c r="O16" s="978">
        <f t="shared" ref="O16:O26" si="35">C16-(C16*0.97%)</f>
        <v>302.54655300000002</v>
      </c>
      <c r="P16" s="446">
        <f t="shared" si="29"/>
        <v>142.62382816676401</v>
      </c>
      <c r="Q16" s="446">
        <f t="shared" ref="Q16:Q27" si="36">J16</f>
        <v>12.787189700000001</v>
      </c>
      <c r="R16" s="446"/>
      <c r="S16" s="446">
        <f t="shared" ref="S16:S27" si="37">P16*K16/10</f>
        <v>34.729885760302082</v>
      </c>
      <c r="T16" s="446">
        <f t="shared" ref="T16:T27" si="38">Q16+S16</f>
        <v>47.517075460302081</v>
      </c>
      <c r="U16" s="446">
        <f t="shared" si="30"/>
        <v>3.3316365204236682</v>
      </c>
      <c r="V16" s="446">
        <f t="shared" si="14"/>
        <v>302.54655300000002</v>
      </c>
      <c r="W16" s="447">
        <f t="shared" si="14"/>
        <v>25.574379400000002</v>
      </c>
      <c r="X16" s="447">
        <f t="shared" si="31"/>
        <v>2.4350689647520816</v>
      </c>
      <c r="Y16" s="447">
        <f>L16+S16</f>
        <v>73.672172160302082</v>
      </c>
      <c r="Z16" s="447">
        <f t="shared" si="15"/>
        <v>99.24655156030208</v>
      </c>
      <c r="AA16" s="447">
        <f t="shared" si="16"/>
        <v>3.2803729071176058</v>
      </c>
      <c r="AC16" s="448">
        <f t="shared" si="17"/>
        <v>0</v>
      </c>
      <c r="AE16">
        <f t="shared" ref="AE16:AE33" si="39">(AF16*0%)+AF16</f>
        <v>305.51</v>
      </c>
      <c r="AF16" s="448">
        <f>'[13]FY 21'!AF16</f>
        <v>305.51</v>
      </c>
      <c r="AG16" s="448">
        <f>'[13]FY 20'!E16</f>
        <v>2.472</v>
      </c>
      <c r="AH16" s="448">
        <f t="shared" ref="AH16:AH33" si="40">(AG16*3%)+AG16</f>
        <v>2.54616</v>
      </c>
      <c r="AI16" s="448">
        <f t="shared" si="32"/>
        <v>-7.4160000000000004E-2</v>
      </c>
      <c r="AN16">
        <v>0.81</v>
      </c>
      <c r="AO16">
        <f t="shared" ref="AO16:AO25" si="41">AP16-AN16</f>
        <v>2.4419999999999997</v>
      </c>
      <c r="AP16">
        <v>3.2519999999999998</v>
      </c>
    </row>
    <row r="17" spans="1:42" ht="15.75" x14ac:dyDescent="0.2">
      <c r="A17" s="974" t="s">
        <v>983</v>
      </c>
      <c r="B17" s="975">
        <v>48.7226</v>
      </c>
      <c r="C17" s="976">
        <v>1151.1400000000001</v>
      </c>
      <c r="D17" s="976">
        <f t="shared" si="33"/>
        <v>86.335499999999996</v>
      </c>
      <c r="E17" s="976">
        <f t="shared" si="34"/>
        <v>2.0909</v>
      </c>
      <c r="F17" s="976">
        <f t="shared" si="23"/>
        <v>240.69186260000001</v>
      </c>
      <c r="G17" s="977">
        <f t="shared" si="24"/>
        <v>327.0273626</v>
      </c>
      <c r="H17" s="998">
        <f t="shared" si="25"/>
        <v>2.8408999999999995</v>
      </c>
      <c r="I17" s="446">
        <f>'[12]Actuals apprd'!F42</f>
        <v>517.32030892260195</v>
      </c>
      <c r="J17" s="446">
        <f>'[12]Actuals apprd'!G42</f>
        <v>39.694378999999998</v>
      </c>
      <c r="K17" s="446">
        <f t="shared" si="26"/>
        <v>1.7144470276976789</v>
      </c>
      <c r="L17" s="446">
        <f>'[12]Actuals apprd'!H42</f>
        <v>88.691826599999999</v>
      </c>
      <c r="M17" s="446">
        <f t="shared" si="27"/>
        <v>128.38620559999998</v>
      </c>
      <c r="N17" s="446">
        <f t="shared" si="28"/>
        <v>2.4817545993387298</v>
      </c>
      <c r="O17" s="978">
        <f t="shared" si="35"/>
        <v>1139.9739420000001</v>
      </c>
      <c r="P17" s="446">
        <f t="shared" si="29"/>
        <v>622.65363307739813</v>
      </c>
      <c r="Q17" s="446">
        <f t="shared" si="36"/>
        <v>39.694378999999998</v>
      </c>
      <c r="R17" s="446"/>
      <c r="S17" s="446">
        <f t="shared" si="37"/>
        <v>106.75066705147064</v>
      </c>
      <c r="T17" s="446">
        <f t="shared" si="38"/>
        <v>146.44504605147063</v>
      </c>
      <c r="U17" s="446">
        <f t="shared" si="30"/>
        <v>2.3519503986137824</v>
      </c>
      <c r="V17" s="446">
        <f t="shared" si="14"/>
        <v>1139.9739420000001</v>
      </c>
      <c r="W17" s="447">
        <f t="shared" si="14"/>
        <v>79.388757999999996</v>
      </c>
      <c r="X17" s="447">
        <f t="shared" si="31"/>
        <v>1.7144470276976789</v>
      </c>
      <c r="Y17" s="447">
        <f>L17+S17</f>
        <v>195.44249365147064</v>
      </c>
      <c r="Z17" s="447">
        <f t="shared" si="15"/>
        <v>274.83125165147067</v>
      </c>
      <c r="AA17" s="447">
        <f t="shared" si="16"/>
        <v>2.4108555601656958</v>
      </c>
      <c r="AC17" s="448">
        <f t="shared" si="17"/>
        <v>0</v>
      </c>
      <c r="AE17">
        <f t="shared" si="39"/>
        <v>1151.1400000000001</v>
      </c>
      <c r="AF17" s="448">
        <f>'[13]FY 21'!AF17</f>
        <v>1151.1400000000001</v>
      </c>
      <c r="AG17" s="448">
        <f>'[13]FY 20'!E17</f>
        <v>2.0299999999999998</v>
      </c>
      <c r="AH17" s="448">
        <f t="shared" si="40"/>
        <v>2.0909</v>
      </c>
      <c r="AI17" s="448">
        <f t="shared" si="32"/>
        <v>-6.0900000000000176E-2</v>
      </c>
      <c r="AN17">
        <v>0.75</v>
      </c>
      <c r="AO17">
        <f t="shared" si="41"/>
        <v>1.9994999999999998</v>
      </c>
      <c r="AP17">
        <v>2.7494999999999998</v>
      </c>
    </row>
    <row r="18" spans="1:42" ht="15.75" x14ac:dyDescent="0.2">
      <c r="A18" s="974" t="s">
        <v>984</v>
      </c>
      <c r="B18" s="975">
        <v>48.7226</v>
      </c>
      <c r="C18" s="976">
        <v>505.86</v>
      </c>
      <c r="D18" s="976">
        <f t="shared" si="33"/>
        <v>79.420020000000008</v>
      </c>
      <c r="E18" s="976">
        <f t="shared" si="34"/>
        <v>3.4813999999999998</v>
      </c>
      <c r="F18" s="976">
        <f t="shared" si="23"/>
        <v>176.11010039999999</v>
      </c>
      <c r="G18" s="977">
        <f t="shared" si="24"/>
        <v>255.53012039999999</v>
      </c>
      <c r="H18" s="998">
        <f t="shared" si="25"/>
        <v>5.0513999999999992</v>
      </c>
      <c r="I18" s="446">
        <f>'[12]Actuals apprd'!F43</f>
        <v>194.14585023048997</v>
      </c>
      <c r="J18" s="446">
        <f>'[12]Actuals apprd'!G43</f>
        <v>39.2600038</v>
      </c>
      <c r="K18" s="446">
        <f t="shared" si="26"/>
        <v>2.8952864165402739</v>
      </c>
      <c r="L18" s="446">
        <f>'[12]Actuals apprd'!H43</f>
        <v>56.2107843</v>
      </c>
      <c r="M18" s="446">
        <f t="shared" si="27"/>
        <v>95.470788099999993</v>
      </c>
      <c r="N18" s="446">
        <f t="shared" si="28"/>
        <v>4.9174776585055548</v>
      </c>
      <c r="O18" s="978">
        <f t="shared" si="35"/>
        <v>500.95315800000003</v>
      </c>
      <c r="P18" s="446">
        <f t="shared" si="29"/>
        <v>306.80730776951009</v>
      </c>
      <c r="Q18" s="446">
        <f t="shared" si="36"/>
        <v>39.2600038</v>
      </c>
      <c r="R18" s="446"/>
      <c r="S18" s="446">
        <f t="shared" si="37"/>
        <v>88.829503068035379</v>
      </c>
      <c r="T18" s="446">
        <f t="shared" si="38"/>
        <v>128.08950686803539</v>
      </c>
      <c r="U18" s="446">
        <f t="shared" si="30"/>
        <v>4.1749170774075246</v>
      </c>
      <c r="V18" s="446">
        <f t="shared" si="14"/>
        <v>500.95315800000003</v>
      </c>
      <c r="W18" s="447">
        <f t="shared" si="14"/>
        <v>78.5200076</v>
      </c>
      <c r="X18" s="447">
        <f t="shared" si="31"/>
        <v>2.8952864165402739</v>
      </c>
      <c r="Y18" s="447">
        <f>L18+S18</f>
        <v>145.04028736803537</v>
      </c>
      <c r="Z18" s="447">
        <f t="shared" si="15"/>
        <v>223.56029496803535</v>
      </c>
      <c r="AA18" s="447">
        <f t="shared" si="16"/>
        <v>4.4626985856437171</v>
      </c>
      <c r="AC18" s="448">
        <f t="shared" si="17"/>
        <v>0</v>
      </c>
      <c r="AE18">
        <f t="shared" si="39"/>
        <v>505.86</v>
      </c>
      <c r="AF18" s="448">
        <f>'[13]FY 21'!AF18</f>
        <v>505.86</v>
      </c>
      <c r="AG18" s="448">
        <f>'[13]FY 20'!E18</f>
        <v>3.38</v>
      </c>
      <c r="AH18" s="448">
        <f t="shared" si="40"/>
        <v>3.4813999999999998</v>
      </c>
      <c r="AI18" s="448">
        <f t="shared" si="32"/>
        <v>-0.10139999999999993</v>
      </c>
      <c r="AN18">
        <v>1.57</v>
      </c>
      <c r="AO18">
        <f t="shared" si="41"/>
        <v>3.3374999999999995</v>
      </c>
      <c r="AP18">
        <v>4.9074999999999998</v>
      </c>
    </row>
    <row r="19" spans="1:42" ht="47.25" x14ac:dyDescent="0.2">
      <c r="A19" s="974" t="s">
        <v>985</v>
      </c>
      <c r="B19" s="975">
        <v>48.7226</v>
      </c>
      <c r="C19" s="976">
        <v>439.32</v>
      </c>
      <c r="D19" s="976">
        <f t="shared" si="33"/>
        <v>87.600407999999987</v>
      </c>
      <c r="E19" s="976">
        <f t="shared" si="34"/>
        <v>4.5526</v>
      </c>
      <c r="F19" s="976">
        <f t="shared" si="23"/>
        <v>200.00482319999998</v>
      </c>
      <c r="G19" s="977">
        <f t="shared" si="24"/>
        <v>287.60523119999993</v>
      </c>
      <c r="H19" s="998">
        <f t="shared" si="25"/>
        <v>6.5465999999999989</v>
      </c>
      <c r="I19" s="446">
        <f>'[12]Actuals apprd'!$F$54</f>
        <v>145.046496091352</v>
      </c>
      <c r="J19" s="446">
        <f>'[12]Actuals apprd'!$E$54</f>
        <v>39.275287859999999</v>
      </c>
      <c r="K19" s="446">
        <f t="shared" si="26"/>
        <v>3.4926391995084143</v>
      </c>
      <c r="L19" s="446">
        <f>'[12]Actuals apprd'!$H$54</f>
        <v>50.6595078</v>
      </c>
      <c r="M19" s="446">
        <f t="shared" si="27"/>
        <v>89.934795659999992</v>
      </c>
      <c r="N19" s="446">
        <f t="shared" si="28"/>
        <v>6.2004114600161042</v>
      </c>
      <c r="O19" s="978">
        <f t="shared" si="35"/>
        <v>435.05859599999997</v>
      </c>
      <c r="P19" s="446">
        <f t="shared" si="29"/>
        <v>290.012099908648</v>
      </c>
      <c r="Q19" s="446">
        <f t="shared" si="36"/>
        <v>39.275287859999999</v>
      </c>
      <c r="R19" s="446"/>
      <c r="S19" s="446">
        <f t="shared" si="37"/>
        <v>101.29076284726946</v>
      </c>
      <c r="T19" s="446">
        <f t="shared" si="38"/>
        <v>140.56605070726945</v>
      </c>
      <c r="U19" s="446">
        <f t="shared" si="30"/>
        <v>4.8469029654813331</v>
      </c>
      <c r="V19" s="446">
        <f t="shared" si="14"/>
        <v>435.05859599999997</v>
      </c>
      <c r="W19" s="447">
        <f t="shared" si="14"/>
        <v>78.550575719999998</v>
      </c>
      <c r="X19" s="447">
        <f t="shared" si="31"/>
        <v>3.4926391995084143</v>
      </c>
      <c r="Y19" s="447">
        <f>L19+S19</f>
        <v>151.95027064726946</v>
      </c>
      <c r="Z19" s="447">
        <f t="shared" si="15"/>
        <v>230.50084636726945</v>
      </c>
      <c r="AA19" s="447">
        <f t="shared" si="16"/>
        <v>5.2981563515014294</v>
      </c>
      <c r="AC19" s="448">
        <f t="shared" si="17"/>
        <v>0</v>
      </c>
      <c r="AE19">
        <f t="shared" si="39"/>
        <v>439.32</v>
      </c>
      <c r="AF19" s="448">
        <f>'[13]FY 21'!AF19</f>
        <v>439.32</v>
      </c>
      <c r="AG19" s="448">
        <f>'[13]FY 20'!E19</f>
        <v>4.42</v>
      </c>
      <c r="AH19" s="448">
        <f t="shared" si="40"/>
        <v>4.5526</v>
      </c>
      <c r="AI19" s="448">
        <f t="shared" si="32"/>
        <v>-0.13260000000000005</v>
      </c>
      <c r="AN19">
        <f>1.784+0.2+0.01</f>
        <v>1.994</v>
      </c>
      <c r="AO19">
        <f t="shared" si="41"/>
        <v>4.21</v>
      </c>
      <c r="AP19">
        <v>6.2039999999999997</v>
      </c>
    </row>
    <row r="20" spans="1:42" ht="15.75" x14ac:dyDescent="0.2">
      <c r="A20" s="974" t="s">
        <v>894</v>
      </c>
      <c r="B20" s="975">
        <v>61</v>
      </c>
      <c r="C20" s="1005">
        <f>3761.03-84-800</f>
        <v>2877.03</v>
      </c>
      <c r="D20" s="1005">
        <f>C20*1.67/10</f>
        <v>480.46401000000003</v>
      </c>
      <c r="E20" s="1005">
        <f t="shared" si="34"/>
        <v>4.8152499999999998</v>
      </c>
      <c r="F20" s="1005">
        <f>C20*E20/10</f>
        <v>1385.36187075</v>
      </c>
      <c r="G20" s="1006">
        <f>D20+F20</f>
        <v>1865.8258807500001</v>
      </c>
      <c r="H20" s="1007">
        <f>G20/C20*10</f>
        <v>6.4852500000000006</v>
      </c>
      <c r="I20" s="446"/>
      <c r="J20" s="446"/>
      <c r="K20" s="446"/>
      <c r="L20" s="446"/>
      <c r="M20" s="446"/>
      <c r="N20" s="446"/>
      <c r="O20" s="978"/>
      <c r="P20" s="446"/>
      <c r="Q20" s="446"/>
      <c r="R20" s="446"/>
      <c r="S20" s="446"/>
      <c r="T20" s="446"/>
      <c r="U20" s="446"/>
      <c r="V20" s="446"/>
      <c r="W20" s="447"/>
      <c r="X20" s="447"/>
      <c r="Y20" s="447"/>
      <c r="Z20" s="447"/>
      <c r="AA20" s="447"/>
      <c r="AC20" s="448"/>
      <c r="AF20" s="448">
        <f>'[13]FY 21'!AF20</f>
        <v>0</v>
      </c>
      <c r="AG20" s="448">
        <f>'[13]FY 20'!E20</f>
        <v>4.6749999999999998</v>
      </c>
      <c r="AH20" s="448">
        <f t="shared" si="40"/>
        <v>4.8152499999999998</v>
      </c>
      <c r="AI20" s="448"/>
    </row>
    <row r="21" spans="1:42" ht="47.25" x14ac:dyDescent="0.2">
      <c r="A21" s="988" t="s">
        <v>986</v>
      </c>
      <c r="B21" s="975">
        <v>48.7226</v>
      </c>
      <c r="C21" s="976">
        <v>363.06</v>
      </c>
      <c r="D21" s="976">
        <f t="shared" si="33"/>
        <v>30.497040000000005</v>
      </c>
      <c r="E21" s="976">
        <f t="shared" si="34"/>
        <v>3.0302600000000002</v>
      </c>
      <c r="F21" s="976">
        <f t="shared" si="23"/>
        <v>110.01661956000001</v>
      </c>
      <c r="G21" s="977">
        <f t="shared" si="24"/>
        <v>140.51365956000001</v>
      </c>
      <c r="H21" s="998">
        <f t="shared" si="25"/>
        <v>3.8702600000000005</v>
      </c>
      <c r="I21" s="446">
        <f>'[12]Actuals apprd'!F44</f>
        <v>156.647690679698</v>
      </c>
      <c r="J21" s="446">
        <f>'[12]Actuals apprd'!G44</f>
        <v>16.392015000000001</v>
      </c>
      <c r="K21" s="446">
        <f t="shared" si="26"/>
        <v>2.5937966160688464</v>
      </c>
      <c r="L21" s="446">
        <f>'[12]Actuals apprd'!H44</f>
        <v>40.631225000000001</v>
      </c>
      <c r="M21" s="446">
        <f t="shared" si="27"/>
        <v>57.023240000000001</v>
      </c>
      <c r="N21" s="446">
        <f t="shared" si="28"/>
        <v>3.6402221923971445</v>
      </c>
      <c r="O21" s="978">
        <f t="shared" si="35"/>
        <v>359.538318</v>
      </c>
      <c r="P21" s="446">
        <f t="shared" si="29"/>
        <v>202.890627320302</v>
      </c>
      <c r="Q21" s="446">
        <f t="shared" si="36"/>
        <v>16.392015000000001</v>
      </c>
      <c r="R21" s="446"/>
      <c r="S21" s="446">
        <f t="shared" si="37"/>
        <v>52.625702257548468</v>
      </c>
      <c r="T21" s="446">
        <f t="shared" si="38"/>
        <v>69.017717257548469</v>
      </c>
      <c r="U21" s="446">
        <f t="shared" si="30"/>
        <v>3.4017203342069955</v>
      </c>
      <c r="V21" s="446">
        <f t="shared" si="14"/>
        <v>359.538318</v>
      </c>
      <c r="W21" s="447">
        <f t="shared" si="14"/>
        <v>32.784030000000001</v>
      </c>
      <c r="X21" s="447">
        <f t="shared" si="31"/>
        <v>2.5937966160688459</v>
      </c>
      <c r="Y21" s="447">
        <f t="shared" ref="Y21:Y27" si="42">L21+S21</f>
        <v>93.256927257548469</v>
      </c>
      <c r="Z21" s="447">
        <f t="shared" si="15"/>
        <v>126.04095725754847</v>
      </c>
      <c r="AA21" s="447">
        <f t="shared" si="16"/>
        <v>3.5056335012822881</v>
      </c>
      <c r="AC21" s="448">
        <f t="shared" si="17"/>
        <v>0</v>
      </c>
      <c r="AE21">
        <f t="shared" si="39"/>
        <v>363.06</v>
      </c>
      <c r="AF21" s="448">
        <f>'[13]FY 21'!AF21</f>
        <v>363.06</v>
      </c>
      <c r="AG21" s="448">
        <f>'[13]FY 20'!E21</f>
        <v>2.9420000000000002</v>
      </c>
      <c r="AH21" s="448">
        <f t="shared" si="40"/>
        <v>3.0302600000000002</v>
      </c>
      <c r="AI21" s="448">
        <f t="shared" si="32"/>
        <v>-8.8260000000000005E-2</v>
      </c>
      <c r="AN21">
        <f>0.81+0.02+0.01</f>
        <v>0.84000000000000008</v>
      </c>
      <c r="AO21">
        <f t="shared" si="41"/>
        <v>2.9119999999999999</v>
      </c>
      <c r="AP21">
        <v>3.7519999999999998</v>
      </c>
    </row>
    <row r="22" spans="1:42" ht="31.5" x14ac:dyDescent="0.2">
      <c r="A22" s="974" t="s">
        <v>987</v>
      </c>
      <c r="B22" s="975">
        <v>48.7226</v>
      </c>
      <c r="C22" s="976">
        <v>490.69</v>
      </c>
      <c r="D22" s="976">
        <v>39.799999999999997</v>
      </c>
      <c r="E22" s="976">
        <f t="shared" si="34"/>
        <v>3.0282</v>
      </c>
      <c r="F22" s="976">
        <f t="shared" si="23"/>
        <v>148.59074579999998</v>
      </c>
      <c r="G22" s="977">
        <f t="shared" si="24"/>
        <v>188.39074579999999</v>
      </c>
      <c r="H22" s="998">
        <f t="shared" si="25"/>
        <v>3.8393027328863432</v>
      </c>
      <c r="I22" s="446">
        <f>'[12]Actuals apprd'!F45</f>
        <v>217.494423488656</v>
      </c>
      <c r="J22" s="446">
        <f>'[12]Actuals apprd'!G45</f>
        <v>22.904916799999999</v>
      </c>
      <c r="K22" s="446">
        <f t="shared" si="26"/>
        <v>2.5924971958161924</v>
      </c>
      <c r="L22" s="446">
        <f>'[12]Actuals apprd'!H45</f>
        <v>56.385368300000003</v>
      </c>
      <c r="M22" s="446">
        <f t="shared" si="27"/>
        <v>79.290285100000006</v>
      </c>
      <c r="N22" s="446">
        <f t="shared" si="28"/>
        <v>3.6456238200578781</v>
      </c>
      <c r="O22" s="978">
        <f t="shared" si="35"/>
        <v>485.93030699999997</v>
      </c>
      <c r="P22" s="446">
        <f t="shared" si="29"/>
        <v>268.43588351134395</v>
      </c>
      <c r="Q22" s="446">
        <f t="shared" si="36"/>
        <v>22.904916799999999</v>
      </c>
      <c r="R22" s="446"/>
      <c r="S22" s="446">
        <f t="shared" si="37"/>
        <v>69.591927525960131</v>
      </c>
      <c r="T22" s="446">
        <f t="shared" si="38"/>
        <v>92.496844325960126</v>
      </c>
      <c r="U22" s="446">
        <f t="shared" si="30"/>
        <v>3.4457704803110372</v>
      </c>
      <c r="V22" s="446">
        <f t="shared" si="14"/>
        <v>485.93030699999997</v>
      </c>
      <c r="W22" s="447">
        <f t="shared" si="14"/>
        <v>45.809833599999997</v>
      </c>
      <c r="X22" s="447">
        <f t="shared" si="31"/>
        <v>2.5924971958161924</v>
      </c>
      <c r="Y22" s="447">
        <f t="shared" si="42"/>
        <v>125.97729582596014</v>
      </c>
      <c r="Z22" s="447">
        <f t="shared" si="15"/>
        <v>171.78712942596013</v>
      </c>
      <c r="AA22" s="447">
        <f t="shared" si="16"/>
        <v>3.5352215523770605</v>
      </c>
      <c r="AC22" s="448">
        <f t="shared" si="17"/>
        <v>0</v>
      </c>
      <c r="AE22">
        <f t="shared" si="39"/>
        <v>490.69</v>
      </c>
      <c r="AF22" s="448">
        <f>'[13]FY 21'!AF22</f>
        <v>490.69</v>
      </c>
      <c r="AG22" s="448">
        <f>'[13]FY 20'!E22</f>
        <v>2.94</v>
      </c>
      <c r="AH22" s="448">
        <f t="shared" si="40"/>
        <v>3.0282</v>
      </c>
      <c r="AI22" s="448">
        <f t="shared" si="32"/>
        <v>-8.8200000000000056E-2</v>
      </c>
      <c r="AN22">
        <f>0.82+0.02+0.01</f>
        <v>0.85</v>
      </c>
      <c r="AO22">
        <f t="shared" si="41"/>
        <v>2.9019999999999997</v>
      </c>
      <c r="AP22">
        <v>3.7519999999999998</v>
      </c>
    </row>
    <row r="23" spans="1:42" ht="47.25" x14ac:dyDescent="0.2">
      <c r="A23" s="988" t="s">
        <v>988</v>
      </c>
      <c r="B23" s="975">
        <v>48.7226</v>
      </c>
      <c r="C23" s="976">
        <v>348.37</v>
      </c>
      <c r="D23" s="976">
        <f t="shared" si="33"/>
        <v>36.927219999999998</v>
      </c>
      <c r="E23" s="976">
        <f t="shared" si="34"/>
        <v>3.57925</v>
      </c>
      <c r="F23" s="976">
        <f t="shared" si="23"/>
        <v>124.69033225000001</v>
      </c>
      <c r="G23" s="977">
        <f t="shared" si="24"/>
        <v>161.61755225000002</v>
      </c>
      <c r="H23" s="998">
        <f t="shared" si="25"/>
        <v>4.6392500000000005</v>
      </c>
      <c r="I23" s="446">
        <f>'[12]Actuals apprd'!F46</f>
        <v>98.404026810849999</v>
      </c>
      <c r="J23" s="446">
        <f>'[12]Actuals apprd'!G46</f>
        <v>13.763811</v>
      </c>
      <c r="K23" s="446">
        <f t="shared" si="26"/>
        <v>2.4703216004286221</v>
      </c>
      <c r="L23" s="446">
        <f>'[12]Actuals apprd'!H46</f>
        <v>24.308959300000001</v>
      </c>
      <c r="M23" s="446">
        <f t="shared" si="27"/>
        <v>38.072770300000002</v>
      </c>
      <c r="N23" s="446">
        <f t="shared" si="28"/>
        <v>3.8690256419264859</v>
      </c>
      <c r="O23" s="978">
        <f t="shared" si="35"/>
        <v>344.99081100000001</v>
      </c>
      <c r="P23" s="446">
        <f t="shared" si="29"/>
        <v>246.58678418915002</v>
      </c>
      <c r="Q23" s="446">
        <f t="shared" si="36"/>
        <v>13.763811</v>
      </c>
      <c r="R23" s="446"/>
      <c r="S23" s="446">
        <f t="shared" si="37"/>
        <v>60.914865936268839</v>
      </c>
      <c r="T23" s="446">
        <f t="shared" si="38"/>
        <v>74.678676936268843</v>
      </c>
      <c r="U23" s="446">
        <f t="shared" si="30"/>
        <v>3.0284947014429155</v>
      </c>
      <c r="V23" s="446">
        <f t="shared" si="14"/>
        <v>344.99081100000001</v>
      </c>
      <c r="W23" s="447">
        <f t="shared" si="14"/>
        <v>27.527622000000001</v>
      </c>
      <c r="X23" s="447">
        <f t="shared" si="31"/>
        <v>2.4703216004286226</v>
      </c>
      <c r="Y23" s="447">
        <f t="shared" si="42"/>
        <v>85.223825236268837</v>
      </c>
      <c r="Z23" s="447">
        <f t="shared" si="15"/>
        <v>112.75144723626883</v>
      </c>
      <c r="AA23" s="447">
        <f t="shared" si="16"/>
        <v>3.2682449398998292</v>
      </c>
      <c r="AC23" s="448">
        <f t="shared" si="17"/>
        <v>0</v>
      </c>
      <c r="AE23">
        <f t="shared" si="39"/>
        <v>348.37</v>
      </c>
      <c r="AF23" s="448">
        <f>'[13]FY 21'!AF23</f>
        <v>348.37</v>
      </c>
      <c r="AG23" s="448">
        <f>'[13]FY 20'!E23</f>
        <v>3.4750000000000001</v>
      </c>
      <c r="AH23" s="448">
        <f t="shared" si="40"/>
        <v>3.57925</v>
      </c>
      <c r="AI23" s="448">
        <f t="shared" si="32"/>
        <v>-0.10424999999999995</v>
      </c>
      <c r="AN23">
        <v>1.06</v>
      </c>
      <c r="AO23">
        <f t="shared" si="41"/>
        <v>3.4449999999999998</v>
      </c>
      <c r="AP23">
        <v>4.5049999999999999</v>
      </c>
    </row>
    <row r="24" spans="1:42" ht="31.5" x14ac:dyDescent="0.2">
      <c r="A24" s="974" t="s">
        <v>989</v>
      </c>
      <c r="B24" s="975">
        <v>48.7226</v>
      </c>
      <c r="C24" s="976">
        <v>291.89999999999998</v>
      </c>
      <c r="D24" s="976">
        <f t="shared" si="33"/>
        <v>69.472199999999987</v>
      </c>
      <c r="E24" s="976">
        <f t="shared" si="34"/>
        <v>3.0446800000000001</v>
      </c>
      <c r="F24" s="976">
        <f t="shared" si="23"/>
        <v>88.874209199999996</v>
      </c>
      <c r="G24" s="977">
        <f t="shared" si="24"/>
        <v>158.34640919999998</v>
      </c>
      <c r="H24" s="998">
        <f t="shared" si="25"/>
        <v>5.4246799999999995</v>
      </c>
      <c r="I24" s="446">
        <f>'[12]Actuals apprd'!F47</f>
        <v>63.919122791403993</v>
      </c>
      <c r="J24" s="446">
        <f>'[12]Actuals apprd'!G47</f>
        <v>17.429225500000001</v>
      </c>
      <c r="K24" s="446">
        <f t="shared" si="26"/>
        <v>2.5510420806639851</v>
      </c>
      <c r="L24" s="446">
        <f>'[12]Actuals apprd'!H47</f>
        <v>16.306037199999999</v>
      </c>
      <c r="M24" s="446">
        <f t="shared" si="27"/>
        <v>33.7352627</v>
      </c>
      <c r="N24" s="446">
        <f t="shared" si="28"/>
        <v>5.2778043919802986</v>
      </c>
      <c r="O24" s="978">
        <f t="shared" si="35"/>
        <v>289.06856999999997</v>
      </c>
      <c r="P24" s="446">
        <f t="shared" si="29"/>
        <v>225.14944720859597</v>
      </c>
      <c r="Q24" s="446">
        <f t="shared" si="36"/>
        <v>17.429225500000001</v>
      </c>
      <c r="R24" s="446"/>
      <c r="S24" s="446">
        <f t="shared" si="37"/>
        <v>57.436571426736272</v>
      </c>
      <c r="T24" s="446">
        <f t="shared" si="38"/>
        <v>74.865796926736266</v>
      </c>
      <c r="U24" s="446">
        <f t="shared" si="30"/>
        <v>3.3251601482891835</v>
      </c>
      <c r="V24" s="446">
        <f t="shared" si="14"/>
        <v>289.06856999999997</v>
      </c>
      <c r="W24" s="447">
        <f t="shared" si="14"/>
        <v>34.858451000000002</v>
      </c>
      <c r="X24" s="447">
        <f t="shared" si="31"/>
        <v>2.5510420806639851</v>
      </c>
      <c r="Y24" s="447">
        <f t="shared" si="42"/>
        <v>73.742608626736271</v>
      </c>
      <c r="Z24" s="447">
        <f t="shared" si="15"/>
        <v>108.60105962673627</v>
      </c>
      <c r="AA24" s="447">
        <f t="shared" si="16"/>
        <v>3.7569307388463673</v>
      </c>
      <c r="AC24" s="448">
        <f t="shared" si="17"/>
        <v>0</v>
      </c>
      <c r="AE24">
        <f t="shared" si="39"/>
        <v>291.89999999999998</v>
      </c>
      <c r="AF24" s="448">
        <f>'[13]FY 21'!AF24</f>
        <v>291.89999999999998</v>
      </c>
      <c r="AG24" s="448">
        <f>'[13]FY 20'!E24</f>
        <v>2.956</v>
      </c>
      <c r="AH24" s="448">
        <f t="shared" si="40"/>
        <v>3.0446800000000001</v>
      </c>
      <c r="AI24" s="448">
        <f t="shared" si="32"/>
        <v>-8.8680000000000092E-2</v>
      </c>
      <c r="AN24">
        <f>2.35+0.02+0.01</f>
        <v>2.38</v>
      </c>
      <c r="AO24">
        <f t="shared" si="41"/>
        <v>2.9260000000000002</v>
      </c>
      <c r="AP24">
        <v>5.306</v>
      </c>
    </row>
    <row r="25" spans="1:42" ht="47.25" x14ac:dyDescent="0.2">
      <c r="A25" s="988" t="s">
        <v>990</v>
      </c>
      <c r="B25" s="975">
        <v>48.7226</v>
      </c>
      <c r="C25" s="976">
        <v>585.78</v>
      </c>
      <c r="D25" s="976">
        <f t="shared" si="33"/>
        <v>93.256176000000011</v>
      </c>
      <c r="E25" s="976">
        <f t="shared" si="34"/>
        <v>4.4702000000000002</v>
      </c>
      <c r="F25" s="976">
        <f t="shared" si="23"/>
        <v>261.8553756</v>
      </c>
      <c r="G25" s="977">
        <f t="shared" si="24"/>
        <v>355.11155159999998</v>
      </c>
      <c r="H25" s="998">
        <f t="shared" si="25"/>
        <v>6.0621999999999998</v>
      </c>
      <c r="I25" s="446">
        <f>'[12]Actuals apprd'!$F$52</f>
        <v>221.89816337010598</v>
      </c>
      <c r="J25" s="446">
        <f>'[12]Actuals apprd'!$G$52</f>
        <v>50.686374299999997</v>
      </c>
      <c r="K25" s="446">
        <f t="shared" si="26"/>
        <v>3.4374123220109447</v>
      </c>
      <c r="L25" s="446">
        <f>'[12]Actuals apprd'!$H$52</f>
        <v>76.275548099999995</v>
      </c>
      <c r="M25" s="446">
        <f t="shared" si="27"/>
        <v>126.96192239999999</v>
      </c>
      <c r="N25" s="446">
        <f t="shared" si="28"/>
        <v>5.7216301600585595</v>
      </c>
      <c r="O25" s="978">
        <f t="shared" si="35"/>
        <v>580.09793400000001</v>
      </c>
      <c r="P25" s="446">
        <f t="shared" si="29"/>
        <v>358.19977062989403</v>
      </c>
      <c r="Q25" s="446">
        <f t="shared" si="36"/>
        <v>50.686374299999997</v>
      </c>
      <c r="R25" s="446"/>
      <c r="S25" s="446">
        <f t="shared" si="37"/>
        <v>123.12803053046919</v>
      </c>
      <c r="T25" s="446">
        <f t="shared" si="38"/>
        <v>173.81440483046919</v>
      </c>
      <c r="U25" s="446">
        <f t="shared" si="30"/>
        <v>4.8524432197378768</v>
      </c>
      <c r="V25" s="446">
        <f t="shared" si="14"/>
        <v>580.09793400000001</v>
      </c>
      <c r="W25" s="447">
        <f t="shared" si="14"/>
        <v>101.37274859999999</v>
      </c>
      <c r="X25" s="447">
        <f t="shared" si="31"/>
        <v>3.4374123220109447</v>
      </c>
      <c r="Y25" s="447">
        <f t="shared" si="42"/>
        <v>199.40357863046918</v>
      </c>
      <c r="Z25" s="447">
        <f t="shared" si="15"/>
        <v>300.77632723046918</v>
      </c>
      <c r="AA25" s="447">
        <f t="shared" si="16"/>
        <v>5.1849232621205852</v>
      </c>
      <c r="AC25" s="448">
        <f t="shared" si="17"/>
        <v>0</v>
      </c>
      <c r="AE25">
        <f t="shared" si="39"/>
        <v>585.78</v>
      </c>
      <c r="AF25" s="448">
        <f>'[13]FY 21'!AF25</f>
        <v>585.78</v>
      </c>
      <c r="AG25" s="448">
        <f>'[13]FY 20'!E25</f>
        <v>4.34</v>
      </c>
      <c r="AH25" s="448">
        <f t="shared" si="40"/>
        <v>4.4702000000000002</v>
      </c>
      <c r="AI25" s="448">
        <f t="shared" si="32"/>
        <v>-0.13020000000000032</v>
      </c>
      <c r="AN25">
        <f>1.562+0.02+0.01</f>
        <v>1.5920000000000001</v>
      </c>
      <c r="AO25">
        <f t="shared" si="41"/>
        <v>4.3100000000000005</v>
      </c>
      <c r="AP25">
        <v>5.9020000000000001</v>
      </c>
    </row>
    <row r="26" spans="1:42" ht="15.75" x14ac:dyDescent="0.2">
      <c r="A26" s="974" t="s">
        <v>991</v>
      </c>
      <c r="B26" s="975">
        <v>48.7226</v>
      </c>
      <c r="C26" s="976">
        <v>99.56</v>
      </c>
      <c r="D26" s="976"/>
      <c r="E26" s="976">
        <f t="shared" si="34"/>
        <v>2.9870000000000001</v>
      </c>
      <c r="F26" s="976">
        <f t="shared" si="23"/>
        <v>29.738571999999998</v>
      </c>
      <c r="G26" s="977">
        <f t="shared" si="24"/>
        <v>29.738571999999998</v>
      </c>
      <c r="H26" s="998">
        <f t="shared" si="25"/>
        <v>2.9869999999999997</v>
      </c>
      <c r="I26" s="446">
        <f>'[12]Actuals apprd'!$F$49</f>
        <v>31.113178536740001</v>
      </c>
      <c r="J26" s="445"/>
      <c r="K26" s="446">
        <f t="shared" si="26"/>
        <v>2.8681223500603488</v>
      </c>
      <c r="L26" s="446">
        <f>'[12]Actuals apprd'!$K$49</f>
        <v>8.9236402742641925</v>
      </c>
      <c r="M26" s="446">
        <f t="shared" si="27"/>
        <v>8.9236402742641925</v>
      </c>
      <c r="N26" s="446">
        <f t="shared" si="28"/>
        <v>2.8681223500603488</v>
      </c>
      <c r="O26" s="978">
        <f t="shared" si="35"/>
        <v>98.594268</v>
      </c>
      <c r="P26" s="446">
        <f t="shared" si="29"/>
        <v>67.481089463259991</v>
      </c>
      <c r="Q26" s="446">
        <f t="shared" si="36"/>
        <v>0</v>
      </c>
      <c r="R26" s="446"/>
      <c r="S26" s="446">
        <f t="shared" si="37"/>
        <v>19.354402089599787</v>
      </c>
      <c r="T26" s="446">
        <f t="shared" si="38"/>
        <v>19.354402089599787</v>
      </c>
      <c r="U26" s="446">
        <f t="shared" si="30"/>
        <v>2.8681223500603488</v>
      </c>
      <c r="V26" s="446">
        <f t="shared" si="14"/>
        <v>98.594268</v>
      </c>
      <c r="W26" s="447">
        <f t="shared" si="14"/>
        <v>0</v>
      </c>
      <c r="X26" s="447">
        <f t="shared" si="31"/>
        <v>2.8681223500603488</v>
      </c>
      <c r="Y26" s="447">
        <f t="shared" si="42"/>
        <v>28.278042363863982</v>
      </c>
      <c r="Z26" s="447">
        <f t="shared" si="15"/>
        <v>28.278042363863982</v>
      </c>
      <c r="AA26" s="447">
        <f t="shared" si="16"/>
        <v>2.8681223500603488</v>
      </c>
      <c r="AC26" s="448">
        <f t="shared" si="17"/>
        <v>0</v>
      </c>
      <c r="AE26">
        <f t="shared" si="39"/>
        <v>99.56</v>
      </c>
      <c r="AF26" s="448">
        <f>'[13]FY 21'!AF26</f>
        <v>99.56</v>
      </c>
      <c r="AG26" s="448">
        <f>'[13]FY 20'!E26</f>
        <v>2.9</v>
      </c>
      <c r="AH26" s="448">
        <f t="shared" si="40"/>
        <v>2.9870000000000001</v>
      </c>
      <c r="AI26" s="448">
        <f t="shared" si="32"/>
        <v>-8.7000000000000188E-2</v>
      </c>
      <c r="AN26">
        <f>D26/C26*10</f>
        <v>0</v>
      </c>
    </row>
    <row r="27" spans="1:42" ht="15.75" x14ac:dyDescent="0.2">
      <c r="A27" s="974" t="s">
        <v>1081</v>
      </c>
      <c r="B27" s="975">
        <v>48.7226</v>
      </c>
      <c r="C27" s="976">
        <f>429.3+451.18</f>
        <v>880.48</v>
      </c>
      <c r="D27" s="976"/>
      <c r="E27" s="976">
        <f t="shared" si="34"/>
        <v>3.9655</v>
      </c>
      <c r="F27" s="976">
        <f t="shared" si="23"/>
        <v>349.15434399999998</v>
      </c>
      <c r="G27" s="977">
        <f t="shared" si="24"/>
        <v>349.15434399999998</v>
      </c>
      <c r="H27" s="998">
        <f t="shared" si="25"/>
        <v>3.9654999999999996</v>
      </c>
      <c r="I27" s="446">
        <f>'[12]Actuals apprd'!$F$50</f>
        <v>538.24094065265001</v>
      </c>
      <c r="J27" s="445"/>
      <c r="K27" s="446">
        <f t="shared" si="26"/>
        <v>3.8005108086796531</v>
      </c>
      <c r="L27" s="446">
        <f>'[12]Actuals apprd'!$H$50</f>
        <v>204.55905126242999</v>
      </c>
      <c r="M27" s="446">
        <f t="shared" si="27"/>
        <v>204.55905126242999</v>
      </c>
      <c r="N27" s="446">
        <f t="shared" si="28"/>
        <v>3.8005108086796531</v>
      </c>
      <c r="O27" s="978">
        <f>872.63-(872.63*0.97%)</f>
        <v>864.16548899999998</v>
      </c>
      <c r="P27" s="446">
        <f t="shared" si="29"/>
        <v>325.92454834734997</v>
      </c>
      <c r="Q27" s="446">
        <f t="shared" si="36"/>
        <v>0</v>
      </c>
      <c r="R27" s="446"/>
      <c r="S27" s="446">
        <f t="shared" si="37"/>
        <v>123.86797688081376</v>
      </c>
      <c r="T27" s="446">
        <f t="shared" si="38"/>
        <v>123.86797688081376</v>
      </c>
      <c r="U27" s="446">
        <f t="shared" si="30"/>
        <v>3.8005108086796522</v>
      </c>
      <c r="V27" s="446">
        <f t="shared" si="14"/>
        <v>864.16548899999998</v>
      </c>
      <c r="W27" s="447">
        <f t="shared" si="14"/>
        <v>0</v>
      </c>
      <c r="X27" s="447">
        <f t="shared" si="31"/>
        <v>3.8005108086796531</v>
      </c>
      <c r="Y27" s="447">
        <f t="shared" si="42"/>
        <v>328.42702814324377</v>
      </c>
      <c r="Z27" s="447">
        <f t="shared" si="15"/>
        <v>328.42702814324377</v>
      </c>
      <c r="AA27" s="447">
        <f t="shared" si="16"/>
        <v>3.8005108086796531</v>
      </c>
      <c r="AC27" s="448">
        <f t="shared" si="17"/>
        <v>0</v>
      </c>
      <c r="AE27">
        <f t="shared" si="39"/>
        <v>880.48</v>
      </c>
      <c r="AF27" s="448">
        <f>'[13]FY 21'!AF27</f>
        <v>880.48</v>
      </c>
      <c r="AG27" s="448">
        <f>'[13]FY 20'!E27</f>
        <v>3.85</v>
      </c>
      <c r="AH27" s="448">
        <f t="shared" si="40"/>
        <v>3.9655</v>
      </c>
      <c r="AI27" s="448">
        <f t="shared" si="32"/>
        <v>-0.11549999999999994</v>
      </c>
      <c r="AN27">
        <f>D27/C27*10</f>
        <v>0</v>
      </c>
    </row>
    <row r="28" spans="1:42" ht="47.25" x14ac:dyDescent="0.2">
      <c r="A28" s="974" t="s">
        <v>994</v>
      </c>
      <c r="B28" s="975">
        <v>48.7226</v>
      </c>
      <c r="C28" s="976">
        <v>310.5</v>
      </c>
      <c r="D28" s="976"/>
      <c r="E28" s="976">
        <f t="shared" ref="E28:E33" si="43">AH28</f>
        <v>4.3260000000000005</v>
      </c>
      <c r="F28" s="976">
        <f t="shared" si="23"/>
        <v>134.32230000000001</v>
      </c>
      <c r="G28" s="977">
        <f t="shared" si="24"/>
        <v>134.32230000000001</v>
      </c>
      <c r="H28" s="998">
        <f t="shared" si="25"/>
        <v>4.3260000000000005</v>
      </c>
      <c r="I28" s="446">
        <f>'[12]Actuals apprd'!$F$58</f>
        <v>314.53111283600197</v>
      </c>
      <c r="J28" s="445"/>
      <c r="K28" s="446">
        <f t="shared" si="26"/>
        <v>4.6768394217534848</v>
      </c>
      <c r="L28" s="446">
        <f>'[12]Actuals apprd'!$K$58</f>
        <v>147.10115078794075</v>
      </c>
      <c r="M28" s="446">
        <f t="shared" si="27"/>
        <v>147.10115078794075</v>
      </c>
      <c r="N28" s="446">
        <f t="shared" si="28"/>
        <v>4.6768394217534848</v>
      </c>
      <c r="O28" s="978">
        <f>875.06-(875.06*0.97%)</f>
        <v>866.57191799999998</v>
      </c>
      <c r="P28" s="446">
        <f t="shared" si="29"/>
        <v>552.04080516399802</v>
      </c>
      <c r="Q28" s="446"/>
      <c r="R28" s="446"/>
      <c r="S28" s="446"/>
      <c r="T28" s="446">
        <f>P28*N28/10</f>
        <v>258.18062000075207</v>
      </c>
      <c r="U28" s="446">
        <f t="shared" si="30"/>
        <v>4.6768394217534848</v>
      </c>
      <c r="V28" s="446">
        <f t="shared" si="14"/>
        <v>866.57191799999998</v>
      </c>
      <c r="W28" s="447">
        <f t="shared" si="14"/>
        <v>0</v>
      </c>
      <c r="X28" s="447">
        <f t="shared" si="31"/>
        <v>4.6768394217534848</v>
      </c>
      <c r="Y28" s="447">
        <f>M28+T28</f>
        <v>405.28177078869282</v>
      </c>
      <c r="Z28" s="447">
        <f t="shared" si="15"/>
        <v>405.28177078869282</v>
      </c>
      <c r="AA28" s="447">
        <f t="shared" si="16"/>
        <v>4.6768394217534848</v>
      </c>
      <c r="AC28" s="448">
        <f t="shared" si="17"/>
        <v>0</v>
      </c>
      <c r="AE28">
        <f t="shared" si="39"/>
        <v>469.56</v>
      </c>
      <c r="AF28" s="448">
        <f>'[13]FY 21'!AF28</f>
        <v>469.56</v>
      </c>
      <c r="AG28" s="448">
        <f>'[13]FY 20'!E29</f>
        <v>4.2</v>
      </c>
      <c r="AH28" s="448">
        <f t="shared" si="40"/>
        <v>4.3260000000000005</v>
      </c>
      <c r="AI28" s="448">
        <f t="shared" si="32"/>
        <v>-0.12600000000000033</v>
      </c>
      <c r="AN28">
        <f>D28/C28*10</f>
        <v>0</v>
      </c>
    </row>
    <row r="29" spans="1:42" ht="47.25" x14ac:dyDescent="0.2">
      <c r="A29" s="988" t="s">
        <v>995</v>
      </c>
      <c r="B29" s="975">
        <v>48.7226</v>
      </c>
      <c r="C29" s="976">
        <v>550.4</v>
      </c>
      <c r="D29" s="976"/>
      <c r="E29" s="976">
        <f t="shared" si="43"/>
        <v>4.3260000000000005</v>
      </c>
      <c r="F29" s="976">
        <f t="shared" si="23"/>
        <v>238.10304000000002</v>
      </c>
      <c r="G29" s="977">
        <f t="shared" si="24"/>
        <v>238.10304000000002</v>
      </c>
      <c r="H29" s="998">
        <f t="shared" si="25"/>
        <v>4.3260000000000005</v>
      </c>
      <c r="I29" s="445"/>
      <c r="J29" s="445"/>
      <c r="K29" s="446"/>
      <c r="L29" s="445"/>
      <c r="M29" s="446">
        <f t="shared" si="27"/>
        <v>0</v>
      </c>
      <c r="N29" s="446"/>
      <c r="O29" s="978"/>
      <c r="P29" s="446">
        <f t="shared" si="29"/>
        <v>0</v>
      </c>
      <c r="Q29" s="446"/>
      <c r="R29" s="446"/>
      <c r="S29" s="446"/>
      <c r="T29" s="446"/>
      <c r="U29" s="446"/>
      <c r="V29" s="446">
        <f t="shared" si="14"/>
        <v>0</v>
      </c>
      <c r="W29" s="447">
        <f t="shared" si="14"/>
        <v>0</v>
      </c>
      <c r="X29" s="447"/>
      <c r="Y29" s="447">
        <f>L29+S29</f>
        <v>0</v>
      </c>
      <c r="Z29" s="447">
        <f t="shared" si="15"/>
        <v>0</v>
      </c>
      <c r="AA29" s="447"/>
      <c r="AC29" s="448">
        <f t="shared" si="17"/>
        <v>0</v>
      </c>
      <c r="AE29">
        <f t="shared" si="39"/>
        <v>620.22</v>
      </c>
      <c r="AF29" s="448">
        <f>'[13]FY 21'!AF29</f>
        <v>620.22</v>
      </c>
      <c r="AG29" s="448">
        <f>'[13]FY 20'!E30</f>
        <v>4.2</v>
      </c>
      <c r="AH29" s="448">
        <f t="shared" si="40"/>
        <v>4.3260000000000005</v>
      </c>
      <c r="AI29" s="448">
        <f t="shared" si="32"/>
        <v>-0.12600000000000033</v>
      </c>
      <c r="AN29">
        <f>D29/C29*10</f>
        <v>0</v>
      </c>
    </row>
    <row r="30" spans="1:42" ht="31.5" x14ac:dyDescent="0.2">
      <c r="A30" s="974" t="s">
        <v>1044</v>
      </c>
      <c r="B30" s="975">
        <v>48.7226</v>
      </c>
      <c r="C30" s="976">
        <v>725.58</v>
      </c>
      <c r="D30" s="976">
        <f>C30*1.44/10</f>
        <v>104.48352</v>
      </c>
      <c r="E30" s="976">
        <f t="shared" si="43"/>
        <v>2.4925999999999999</v>
      </c>
      <c r="F30" s="976">
        <f t="shared" si="23"/>
        <v>180.85807080000001</v>
      </c>
      <c r="G30" s="977">
        <f t="shared" si="24"/>
        <v>285.34159080000001</v>
      </c>
      <c r="H30" s="998">
        <f t="shared" si="25"/>
        <v>3.9325999999999999</v>
      </c>
      <c r="I30" s="989">
        <f>'[12]Actuals apprd'!$F$62</f>
        <v>628.57473545572202</v>
      </c>
      <c r="J30" s="446">
        <f>'[12]Actuals apprd'!$G$62</f>
        <v>104.970311</v>
      </c>
      <c r="K30" s="446">
        <f t="shared" si="26"/>
        <v>2.2215222729045947</v>
      </c>
      <c r="L30" s="446">
        <f>'[12]Actuals apprd'!$H$62</f>
        <v>139.63927749999999</v>
      </c>
      <c r="M30" s="446">
        <f t="shared" si="27"/>
        <v>244.60958849999997</v>
      </c>
      <c r="N30" s="446">
        <f t="shared" si="28"/>
        <v>3.8914957077085823</v>
      </c>
      <c r="O30" s="978">
        <f>(C30+C31)-(1595.91*0.97%)</f>
        <v>1620.0696730000002</v>
      </c>
      <c r="P30" s="446">
        <f t="shared" si="29"/>
        <v>991.49493754427817</v>
      </c>
      <c r="Q30" s="446">
        <v>104.97</v>
      </c>
      <c r="R30" s="446"/>
      <c r="S30" s="446">
        <f>P30*K30/10</f>
        <v>220.2628087226764</v>
      </c>
      <c r="T30" s="446">
        <f>Q30+S30</f>
        <v>325.2328087226764</v>
      </c>
      <c r="U30" s="446">
        <f t="shared" si="30"/>
        <v>3.2802266194944858</v>
      </c>
      <c r="V30" s="446">
        <f t="shared" si="14"/>
        <v>1620.0696730000002</v>
      </c>
      <c r="W30" s="447">
        <f t="shared" si="14"/>
        <v>209.94031100000001</v>
      </c>
      <c r="X30" s="447">
        <f t="shared" si="31"/>
        <v>2.2215222729045951</v>
      </c>
      <c r="Y30" s="447">
        <f>L30+S30</f>
        <v>359.90208622267642</v>
      </c>
      <c r="Z30" s="447">
        <f t="shared" si="15"/>
        <v>569.84239722267648</v>
      </c>
      <c r="AA30" s="447">
        <f t="shared" si="16"/>
        <v>3.5173943856837839</v>
      </c>
      <c r="AC30" s="448">
        <f t="shared" si="17"/>
        <v>0</v>
      </c>
      <c r="AE30">
        <f t="shared" si="39"/>
        <v>725.58</v>
      </c>
      <c r="AF30" s="448">
        <f>'[13]FY 21'!AF30</f>
        <v>725.58</v>
      </c>
      <c r="AG30" s="448">
        <f>'[13]FY 20'!E31</f>
        <v>2.42</v>
      </c>
      <c r="AH30" s="448">
        <f t="shared" si="40"/>
        <v>2.4925999999999999</v>
      </c>
      <c r="AI30" s="448">
        <f t="shared" si="32"/>
        <v>-7.2599999999999998E-2</v>
      </c>
      <c r="AN30">
        <v>1.45</v>
      </c>
      <c r="AO30">
        <f>AP30-AN30</f>
        <v>2.41</v>
      </c>
      <c r="AP30">
        <v>3.86</v>
      </c>
    </row>
    <row r="31" spans="1:42" ht="15.75" x14ac:dyDescent="0.2">
      <c r="A31" s="974" t="s">
        <v>1045</v>
      </c>
      <c r="B31" s="975">
        <v>48.7226</v>
      </c>
      <c r="C31" s="976">
        <v>909.97</v>
      </c>
      <c r="D31" s="976">
        <f>C31*1.64/10</f>
        <v>149.23507999999998</v>
      </c>
      <c r="E31" s="976">
        <f t="shared" si="43"/>
        <v>2.2557</v>
      </c>
      <c r="F31" s="976">
        <f t="shared" si="23"/>
        <v>205.26193290000001</v>
      </c>
      <c r="G31" s="977">
        <f t="shared" si="24"/>
        <v>354.49701289999996</v>
      </c>
      <c r="H31" s="998">
        <f t="shared" si="25"/>
        <v>3.8956999999999993</v>
      </c>
      <c r="I31" s="991"/>
      <c r="J31" s="445"/>
      <c r="K31" s="446"/>
      <c r="L31" s="445"/>
      <c r="M31" s="446">
        <f t="shared" si="27"/>
        <v>0</v>
      </c>
      <c r="N31" s="446"/>
      <c r="O31" s="978"/>
      <c r="P31" s="446"/>
      <c r="Q31" s="446"/>
      <c r="R31" s="446"/>
      <c r="S31" s="446"/>
      <c r="T31" s="446"/>
      <c r="U31" s="446"/>
      <c r="V31" s="446">
        <f t="shared" si="14"/>
        <v>0</v>
      </c>
      <c r="W31" s="447">
        <f t="shared" si="14"/>
        <v>0</v>
      </c>
      <c r="X31" s="447"/>
      <c r="Y31" s="447">
        <f>L31+S31</f>
        <v>0</v>
      </c>
      <c r="Z31" s="447">
        <f t="shared" si="15"/>
        <v>0</v>
      </c>
      <c r="AA31" s="447"/>
      <c r="AC31" s="448">
        <f t="shared" si="17"/>
        <v>0</v>
      </c>
      <c r="AE31">
        <f t="shared" si="39"/>
        <v>909.97</v>
      </c>
      <c r="AF31" s="448">
        <f>'[13]FY 21'!AF31</f>
        <v>909.97</v>
      </c>
      <c r="AG31" s="448">
        <f>'[13]FY 20'!E32</f>
        <v>2.19</v>
      </c>
      <c r="AH31" s="448">
        <f t="shared" si="40"/>
        <v>2.2557</v>
      </c>
      <c r="AI31" s="448">
        <f t="shared" si="32"/>
        <v>-6.5700000000000092E-2</v>
      </c>
      <c r="AN31">
        <v>1.68</v>
      </c>
      <c r="AO31">
        <f>AP31-AN31</f>
        <v>2.1799999999999997</v>
      </c>
      <c r="AP31">
        <v>3.86</v>
      </c>
    </row>
    <row r="32" spans="1:42" ht="15.75" x14ac:dyDescent="0.2">
      <c r="A32" s="974" t="s">
        <v>1046</v>
      </c>
      <c r="B32" s="975"/>
      <c r="C32" s="976">
        <v>233</v>
      </c>
      <c r="D32" s="976"/>
      <c r="E32" s="976">
        <f t="shared" si="43"/>
        <v>4.1612</v>
      </c>
      <c r="F32" s="976">
        <f t="shared" si="23"/>
        <v>96.955960000000005</v>
      </c>
      <c r="G32" s="977">
        <f t="shared" si="24"/>
        <v>96.955960000000005</v>
      </c>
      <c r="H32" s="998">
        <f t="shared" si="25"/>
        <v>4.1612000000000009</v>
      </c>
      <c r="I32" s="446"/>
      <c r="J32" s="446"/>
      <c r="K32" s="446"/>
      <c r="L32" s="446"/>
      <c r="M32" s="446"/>
      <c r="N32" s="446"/>
      <c r="O32" s="978"/>
      <c r="P32" s="446"/>
      <c r="Q32" s="446"/>
      <c r="R32" s="446"/>
      <c r="S32" s="446"/>
      <c r="T32" s="446"/>
      <c r="U32" s="446"/>
      <c r="V32" s="446"/>
      <c r="W32" s="447"/>
      <c r="X32" s="447"/>
      <c r="Y32" s="447"/>
      <c r="Z32" s="447"/>
      <c r="AA32" s="447"/>
      <c r="AC32" s="448"/>
      <c r="AE32">
        <f t="shared" si="39"/>
        <v>233</v>
      </c>
      <c r="AF32" s="448">
        <f>'[13]FY 21'!AF32</f>
        <v>233</v>
      </c>
      <c r="AG32" s="448">
        <f>'[13]FY 20'!E34</f>
        <v>4.04</v>
      </c>
      <c r="AH32" s="448">
        <f t="shared" si="40"/>
        <v>4.1612</v>
      </c>
      <c r="AI32" s="448">
        <f t="shared" si="32"/>
        <v>-0.12119999999999997</v>
      </c>
    </row>
    <row r="33" spans="1:43" ht="15.75" x14ac:dyDescent="0.2">
      <c r="A33" s="974" t="s">
        <v>1047</v>
      </c>
      <c r="B33" s="975"/>
      <c r="C33" s="976">
        <f>960-90</f>
        <v>870</v>
      </c>
      <c r="D33" s="976"/>
      <c r="E33" s="976">
        <f t="shared" si="43"/>
        <v>3.0488</v>
      </c>
      <c r="F33" s="976">
        <f t="shared" si="23"/>
        <v>265.24560000000002</v>
      </c>
      <c r="G33" s="977">
        <f t="shared" si="24"/>
        <v>265.24560000000002</v>
      </c>
      <c r="H33" s="998">
        <f t="shared" si="25"/>
        <v>3.0488000000000004</v>
      </c>
      <c r="I33" s="446"/>
      <c r="J33" s="446"/>
      <c r="K33" s="446"/>
      <c r="L33" s="446"/>
      <c r="M33" s="446"/>
      <c r="N33" s="446"/>
      <c r="O33" s="978"/>
      <c r="P33" s="446"/>
      <c r="Q33" s="446"/>
      <c r="R33" s="446"/>
      <c r="S33" s="446"/>
      <c r="T33" s="446"/>
      <c r="U33" s="446"/>
      <c r="V33" s="446"/>
      <c r="W33" s="447"/>
      <c r="X33" s="447"/>
      <c r="Y33" s="447"/>
      <c r="Z33" s="447"/>
      <c r="AA33" s="447"/>
      <c r="AC33" s="448"/>
      <c r="AE33">
        <f t="shared" si="39"/>
        <v>870</v>
      </c>
      <c r="AF33" s="448">
        <f>'[13]FY 21'!AF33</f>
        <v>870</v>
      </c>
      <c r="AG33" s="448">
        <f>'[13]FY 20'!E35</f>
        <v>2.96</v>
      </c>
      <c r="AH33" s="448">
        <f t="shared" si="40"/>
        <v>3.0488</v>
      </c>
      <c r="AI33" s="448">
        <f t="shared" si="32"/>
        <v>-8.879999999999999E-2</v>
      </c>
    </row>
    <row r="34" spans="1:43" ht="15.75" x14ac:dyDescent="0.2">
      <c r="A34" s="974" t="s">
        <v>998</v>
      </c>
      <c r="B34" s="975"/>
      <c r="C34" s="976">
        <v>870</v>
      </c>
      <c r="D34" s="976"/>
      <c r="E34" s="976"/>
      <c r="F34" s="976">
        <f t="shared" si="23"/>
        <v>0</v>
      </c>
      <c r="G34" s="977">
        <f t="shared" si="24"/>
        <v>0</v>
      </c>
      <c r="H34" s="998"/>
      <c r="I34" s="446">
        <f>'[12]Actuals apprd'!$F$103</f>
        <v>-39.512526036248197</v>
      </c>
      <c r="J34" s="446"/>
      <c r="K34" s="446"/>
      <c r="L34" s="446"/>
      <c r="M34" s="446">
        <f>'[12]Actuals apprd'!$N$103</f>
        <v>-7.4140898999999996</v>
      </c>
      <c r="N34" s="446">
        <f t="shared" si="28"/>
        <v>1.8763897537703422</v>
      </c>
      <c r="O34" s="978"/>
      <c r="P34" s="446">
        <v>95.51</v>
      </c>
      <c r="Q34" s="446"/>
      <c r="R34" s="446"/>
      <c r="S34" s="446"/>
      <c r="T34" s="446">
        <f>P34*3.05/10</f>
        <v>29.130549999999999</v>
      </c>
      <c r="U34" s="446">
        <f t="shared" si="30"/>
        <v>3.05</v>
      </c>
      <c r="V34" s="446">
        <f t="shared" si="14"/>
        <v>55.997473963751808</v>
      </c>
      <c r="W34" s="447">
        <f t="shared" si="14"/>
        <v>0</v>
      </c>
      <c r="X34" s="447"/>
      <c r="Y34" s="447">
        <f>T34+M34</f>
        <v>21.716460099999999</v>
      </c>
      <c r="Z34" s="447">
        <f t="shared" si="15"/>
        <v>21.716460099999999</v>
      </c>
      <c r="AA34" s="447">
        <f t="shared" si="16"/>
        <v>3.8781142367345822</v>
      </c>
      <c r="AC34" s="448">
        <f t="shared" si="17"/>
        <v>55.997473963751808</v>
      </c>
    </row>
    <row r="35" spans="1:43" ht="31.5" x14ac:dyDescent="0.2">
      <c r="A35" s="979" t="s">
        <v>999</v>
      </c>
      <c r="B35" s="980"/>
      <c r="C35" s="981">
        <f>SUM(C15:C33)</f>
        <v>13174.839999999998</v>
      </c>
      <c r="D35" s="981">
        <f>SUM(D15:D31)</f>
        <v>1376.2259240000001</v>
      </c>
      <c r="E35" s="981">
        <f>D35/C35*10</f>
        <v>1.0445864420364879</v>
      </c>
      <c r="F35" s="981">
        <f>SUM(F15:F33)</f>
        <v>4724.573848854001</v>
      </c>
      <c r="G35" s="982">
        <f>SUM(G15:G33)</f>
        <v>6100.7997728539995</v>
      </c>
      <c r="H35" s="983">
        <f>G35/C35*10</f>
        <v>4.6306442984157687</v>
      </c>
      <c r="I35" s="490">
        <f>SUM(I15:I34)</f>
        <v>3825.6713789047794</v>
      </c>
      <c r="J35" s="490">
        <f>SUM(J15:J31)</f>
        <v>398.59041005999995</v>
      </c>
      <c r="K35" s="490">
        <f t="shared" si="26"/>
        <v>2.8358664685810639</v>
      </c>
      <c r="L35" s="490">
        <f>SUM(L15:L31)</f>
        <v>1084.9093183246348</v>
      </c>
      <c r="M35" s="490">
        <f>SUM(M15:M34)</f>
        <v>1476.0856384846352</v>
      </c>
      <c r="N35" s="490">
        <f t="shared" si="28"/>
        <v>3.8583701847052314</v>
      </c>
      <c r="O35" s="992">
        <f>SUM(O15:O31)</f>
        <v>9112.2536440000003</v>
      </c>
      <c r="P35" s="490">
        <f>SUM(P15:P34)</f>
        <v>5342.5797390589732</v>
      </c>
      <c r="Q35" s="490">
        <f>SUM(Q15:Q31)</f>
        <v>398.59009905999994</v>
      </c>
      <c r="R35" s="490">
        <f>SUM(R15:R31)</f>
        <v>0</v>
      </c>
      <c r="S35" s="490">
        <f>SUM(S15:S31)</f>
        <v>1211.2911278597019</v>
      </c>
      <c r="T35" s="490">
        <f>SUM(T15:T34)</f>
        <v>1897.1923969204538</v>
      </c>
      <c r="U35" s="446">
        <f t="shared" si="30"/>
        <v>3.5510792343449795</v>
      </c>
      <c r="V35" s="490">
        <f t="shared" si="14"/>
        <v>9168.2511179637531</v>
      </c>
      <c r="W35" s="490">
        <f>SUM(W15:W34)</f>
        <v>797.1805091199999</v>
      </c>
      <c r="X35" s="447">
        <f t="shared" si="31"/>
        <v>2.8098025382808602</v>
      </c>
      <c r="Y35" s="490">
        <f>SUM(Y15:Y34)</f>
        <v>2576.0975262850884</v>
      </c>
      <c r="Z35" s="490">
        <f>SUM(Z15:Z34)</f>
        <v>3373.2780354050888</v>
      </c>
      <c r="AA35" s="985">
        <f t="shared" si="16"/>
        <v>3.6793037101652666</v>
      </c>
      <c r="AC35" s="448">
        <f t="shared" si="17"/>
        <v>55.997473963752782</v>
      </c>
    </row>
    <row r="36" spans="1:43" ht="15.75" x14ac:dyDescent="0.2">
      <c r="A36" s="974" t="s">
        <v>1000</v>
      </c>
      <c r="B36" s="986"/>
      <c r="C36" s="986"/>
      <c r="D36" s="986"/>
      <c r="E36" s="986"/>
      <c r="F36" s="986"/>
      <c r="G36" s="987"/>
      <c r="H36" s="999"/>
      <c r="I36" s="445"/>
      <c r="J36" s="445"/>
      <c r="K36" s="445"/>
      <c r="L36" s="445"/>
      <c r="M36" s="445"/>
      <c r="N36" s="445"/>
      <c r="O36" s="978"/>
      <c r="P36" s="446"/>
      <c r="Q36" s="446"/>
      <c r="R36" s="446"/>
      <c r="S36" s="446"/>
      <c r="T36" s="446"/>
      <c r="U36" s="446"/>
      <c r="V36" s="446"/>
      <c r="W36" s="447"/>
      <c r="X36" s="447"/>
      <c r="Y36" s="447"/>
      <c r="Z36" s="447"/>
      <c r="AA36" s="447"/>
      <c r="AC36" s="448">
        <f t="shared" si="17"/>
        <v>0</v>
      </c>
    </row>
    <row r="37" spans="1:43" ht="31.5" x14ac:dyDescent="0.2">
      <c r="A37" s="979" t="s">
        <v>1001</v>
      </c>
      <c r="B37" s="993">
        <v>65.284999999999997</v>
      </c>
      <c r="C37" s="1019">
        <f>AF37+50+122.46</f>
        <v>3387.06</v>
      </c>
      <c r="D37" s="1020">
        <f>782+40</f>
        <v>822</v>
      </c>
      <c r="E37" s="1020">
        <f>AH37</f>
        <v>3.7182999999999997</v>
      </c>
      <c r="F37" s="1019">
        <f>C37*E37/10</f>
        <v>1259.4105198</v>
      </c>
      <c r="G37" s="1021">
        <f>D37+F37</f>
        <v>2081.4105197999997</v>
      </c>
      <c r="H37" s="1022">
        <f>G37/C37*10</f>
        <v>6.1451834918779111</v>
      </c>
      <c r="I37" s="978">
        <f>'[12]Actuals apprd'!$F$66</f>
        <v>1429.645626640297</v>
      </c>
      <c r="J37" s="978">
        <f>'[12]Actuals apprd'!$G$66-100</f>
        <v>529.13353452594333</v>
      </c>
      <c r="K37" s="978">
        <f t="shared" si="26"/>
        <v>2.4909405830236322</v>
      </c>
      <c r="L37" s="978">
        <f>'[12]Actuals apprd'!$H$66+100</f>
        <v>356.11623107405671</v>
      </c>
      <c r="M37" s="978">
        <f t="shared" ref="M37:M50" si="44">J37+L37</f>
        <v>885.24976560000005</v>
      </c>
      <c r="N37" s="978">
        <f>M37/I37*10</f>
        <v>6.1920922856971146</v>
      </c>
      <c r="O37" s="978">
        <v>3729.65</v>
      </c>
      <c r="P37" s="978">
        <v>2300</v>
      </c>
      <c r="Q37" s="978">
        <v>612</v>
      </c>
      <c r="R37" s="978"/>
      <c r="S37" s="978">
        <f>P37*K37/10</f>
        <v>572.91633409543533</v>
      </c>
      <c r="T37" s="978">
        <f>Q37+S37</f>
        <v>1184.9163340954353</v>
      </c>
      <c r="U37" s="978">
        <f>T37/P37*10</f>
        <v>5.1518101482410223</v>
      </c>
      <c r="V37" s="978">
        <f t="shared" si="14"/>
        <v>3729.645626640297</v>
      </c>
      <c r="W37" s="1001">
        <f t="shared" si="14"/>
        <v>1141.1335345259433</v>
      </c>
      <c r="X37" s="1001"/>
      <c r="Y37" s="1001">
        <f>L37+S37</f>
        <v>929.03256516949205</v>
      </c>
      <c r="Z37" s="1001">
        <f t="shared" si="15"/>
        <v>2070.1660996954352</v>
      </c>
      <c r="AA37" s="1001">
        <f t="shared" si="16"/>
        <v>5.5505705016813138</v>
      </c>
      <c r="AB37" s="1002"/>
      <c r="AC37" s="1003">
        <f t="shared" si="17"/>
        <v>-4.3733597030950477E-3</v>
      </c>
      <c r="AD37" s="1002"/>
      <c r="AE37">
        <f>(AF37*5%)+AF37</f>
        <v>3375.33</v>
      </c>
      <c r="AF37" s="448">
        <f>'[13]FY 21'!AF37</f>
        <v>3214.6</v>
      </c>
      <c r="AG37" s="448">
        <v>3.61</v>
      </c>
      <c r="AH37">
        <f>(AG37*3%)+AG37</f>
        <v>3.7182999999999997</v>
      </c>
      <c r="AI37" s="448">
        <f t="shared" ref="AI37:AI50" si="45">AG37-AH37</f>
        <v>-0.10829999999999984</v>
      </c>
      <c r="AN37">
        <f>D37/C37*10</f>
        <v>2.4268834918779119</v>
      </c>
      <c r="AO37">
        <f>AP37-AN37</f>
        <v>3.2251165081220883</v>
      </c>
      <c r="AP37">
        <v>5.6520000000000001</v>
      </c>
    </row>
    <row r="38" spans="1:43" ht="15.75" x14ac:dyDescent="0.2">
      <c r="A38" s="994" t="s">
        <v>1002</v>
      </c>
      <c r="B38" s="986"/>
      <c r="C38" s="986"/>
      <c r="D38" s="986"/>
      <c r="E38" s="986"/>
      <c r="F38" s="986"/>
      <c r="G38" s="987"/>
      <c r="H38" s="999"/>
      <c r="I38" s="445"/>
      <c r="J38" s="445"/>
      <c r="K38" s="445"/>
      <c r="L38" s="445"/>
      <c r="M38" s="445"/>
      <c r="N38" s="445"/>
      <c r="O38" s="978"/>
      <c r="P38" s="446"/>
      <c r="Q38" s="446"/>
      <c r="R38" s="446"/>
      <c r="S38" s="446"/>
      <c r="T38" s="446"/>
      <c r="U38" s="446"/>
      <c r="V38" s="446"/>
      <c r="W38" s="447"/>
      <c r="X38" s="447"/>
      <c r="Y38" s="447"/>
      <c r="Z38" s="447"/>
      <c r="AA38" s="447"/>
      <c r="AC38" s="448">
        <f t="shared" si="17"/>
        <v>0</v>
      </c>
      <c r="AF38" s="448"/>
      <c r="AG38" s="448"/>
    </row>
    <row r="39" spans="1:43" ht="31.5" x14ac:dyDescent="0.2">
      <c r="A39" s="988" t="s">
        <v>1003</v>
      </c>
      <c r="B39" s="975">
        <v>1.431</v>
      </c>
      <c r="C39" s="976">
        <f>ROUND(AE39,2)</f>
        <v>70.209999999999994</v>
      </c>
      <c r="D39" s="976">
        <v>0</v>
      </c>
      <c r="E39" s="976">
        <f>AH39</f>
        <v>0.46350000000000002</v>
      </c>
      <c r="F39" s="976">
        <f t="shared" ref="F39:F50" si="46">C39*E39/10</f>
        <v>3.2542335000000002</v>
      </c>
      <c r="G39" s="977">
        <f t="shared" ref="G39:G50" si="47">D39+F39</f>
        <v>3.2542335000000002</v>
      </c>
      <c r="H39" s="998">
        <f t="shared" ref="H39:H50" si="48">G39/C39*10</f>
        <v>0.46350000000000008</v>
      </c>
      <c r="I39" s="446">
        <f>'[12]Actuals apprd'!$F$8</f>
        <v>30.87656114</v>
      </c>
      <c r="J39" s="446"/>
      <c r="K39" s="490">
        <f t="shared" si="26"/>
        <v>0.43660925526565947</v>
      </c>
      <c r="L39" s="446">
        <f>'[12]Actuals apprd'!$N$8</f>
        <v>1.3480992364500002</v>
      </c>
      <c r="M39" s="446">
        <f t="shared" si="44"/>
        <v>1.3480992364500002</v>
      </c>
      <c r="N39" s="490">
        <f t="shared" ref="N39:N55" si="49">M39/I39*10</f>
        <v>0.43660925526565947</v>
      </c>
      <c r="O39" s="978">
        <f t="shared" ref="O39:O50" si="50">C39-(C39*0.97%)</f>
        <v>69.52896299999999</v>
      </c>
      <c r="P39" s="446">
        <f t="shared" ref="P39:P50" si="51">O39-I39</f>
        <v>38.652401859999991</v>
      </c>
      <c r="Q39" s="446"/>
      <c r="R39" s="446"/>
      <c r="S39" s="446"/>
      <c r="T39" s="446">
        <f t="shared" ref="T39:T50" si="52">P39*N39/10</f>
        <v>1.6875996390323587</v>
      </c>
      <c r="U39" s="446">
        <f t="shared" ref="U39:U75" si="53">T39/P39*10</f>
        <v>0.43660925526565947</v>
      </c>
      <c r="V39" s="446">
        <f t="shared" si="14"/>
        <v>69.52896299999999</v>
      </c>
      <c r="W39" s="447">
        <f t="shared" si="14"/>
        <v>0</v>
      </c>
      <c r="X39" s="447"/>
      <c r="Y39" s="447">
        <f>M39+T39</f>
        <v>3.0356988754823586</v>
      </c>
      <c r="Z39" s="447">
        <f t="shared" si="15"/>
        <v>3.0356988754823586</v>
      </c>
      <c r="AA39" s="447">
        <f t="shared" si="16"/>
        <v>0.43660925526565947</v>
      </c>
      <c r="AC39" s="448">
        <f t="shared" si="17"/>
        <v>0</v>
      </c>
      <c r="AE39">
        <f>(AF39*0%)+AF39</f>
        <v>70.209999999999994</v>
      </c>
      <c r="AF39" s="448">
        <f>'[13]FY 21'!AF39</f>
        <v>70.209999999999994</v>
      </c>
      <c r="AG39" s="448">
        <f>'[13]FY 20'!E41</f>
        <v>0.45</v>
      </c>
      <c r="AH39">
        <f>(AG39*3%)+AG39</f>
        <v>0.46350000000000002</v>
      </c>
      <c r="AI39" s="448">
        <f t="shared" si="45"/>
        <v>-1.3500000000000012E-2</v>
      </c>
      <c r="AQ39" s="976">
        <v>70.209999999999994</v>
      </c>
    </row>
    <row r="40" spans="1:43" ht="63" x14ac:dyDescent="0.2">
      <c r="A40" s="988" t="s">
        <v>1004</v>
      </c>
      <c r="B40" s="975">
        <v>17.917000000000002</v>
      </c>
      <c r="C40" s="976">
        <f t="shared" ref="C40:C50" si="54">ROUND(AE40,2)</f>
        <v>37.869999999999997</v>
      </c>
      <c r="D40" s="976">
        <v>0</v>
      </c>
      <c r="E40" s="976">
        <f t="shared" ref="E40:E50" si="55">AH40</f>
        <v>1.6480000000000001</v>
      </c>
      <c r="F40" s="976">
        <f t="shared" si="46"/>
        <v>6.2409759999999999</v>
      </c>
      <c r="G40" s="977">
        <f t="shared" si="47"/>
        <v>6.2409759999999999</v>
      </c>
      <c r="H40" s="998">
        <f t="shared" si="48"/>
        <v>1.6480000000000001</v>
      </c>
      <c r="I40" s="446">
        <f>'[12]Actuals apprd'!$F$23</f>
        <v>19.140219163800001</v>
      </c>
      <c r="J40" s="445"/>
      <c r="K40" s="490">
        <f t="shared" si="26"/>
        <v>0.80680773999487132</v>
      </c>
      <c r="L40" s="446">
        <f>'[12]Actuals apprd'!$N$23</f>
        <v>1.5442476966552003</v>
      </c>
      <c r="M40" s="446">
        <f t="shared" si="44"/>
        <v>1.5442476966552003</v>
      </c>
      <c r="N40" s="490">
        <f t="shared" si="49"/>
        <v>0.80680773999487132</v>
      </c>
      <c r="O40" s="978">
        <f t="shared" si="50"/>
        <v>37.502660999999996</v>
      </c>
      <c r="P40" s="446">
        <f t="shared" si="51"/>
        <v>18.362441836199995</v>
      </c>
      <c r="Q40" s="446"/>
      <c r="R40" s="446"/>
      <c r="S40" s="446"/>
      <c r="T40" s="446">
        <f t="shared" si="52"/>
        <v>1.4814960198651792</v>
      </c>
      <c r="U40" s="446">
        <f t="shared" si="53"/>
        <v>0.80680773999487132</v>
      </c>
      <c r="V40" s="446">
        <f t="shared" si="14"/>
        <v>37.502660999999996</v>
      </c>
      <c r="W40" s="447">
        <f t="shared" si="14"/>
        <v>0</v>
      </c>
      <c r="X40" s="447"/>
      <c r="Y40" s="447">
        <f t="shared" ref="Y40:Y50" si="56">M40+T40</f>
        <v>3.0257437165203793</v>
      </c>
      <c r="Z40" s="447">
        <f t="shared" si="15"/>
        <v>3.0257437165203793</v>
      </c>
      <c r="AA40" s="447">
        <f t="shared" si="16"/>
        <v>0.80680773999487121</v>
      </c>
      <c r="AC40" s="448">
        <f t="shared" si="17"/>
        <v>0</v>
      </c>
      <c r="AE40">
        <f t="shared" ref="AE40:AE50" si="57">(AF40*0%)+AF40</f>
        <v>37.869999999999997</v>
      </c>
      <c r="AF40" s="448">
        <f>'[13]FY 21'!AF40</f>
        <v>37.869999999999997</v>
      </c>
      <c r="AG40" s="448">
        <f>'[13]FY 20'!E42</f>
        <v>1.6</v>
      </c>
      <c r="AH40">
        <f t="shared" ref="AH40:AH50" si="58">(AG40*3%)+AG40</f>
        <v>1.6480000000000001</v>
      </c>
      <c r="AI40" s="448">
        <f t="shared" si="45"/>
        <v>-4.8000000000000043E-2</v>
      </c>
      <c r="AQ40" s="976">
        <v>37.869999999999997</v>
      </c>
    </row>
    <row r="41" spans="1:43" ht="47.25" x14ac:dyDescent="0.2">
      <c r="A41" s="974" t="s">
        <v>1005</v>
      </c>
      <c r="B41" s="975">
        <v>17.917000000000002</v>
      </c>
      <c r="C41" s="976">
        <f t="shared" si="54"/>
        <v>91.93</v>
      </c>
      <c r="D41" s="976">
        <v>0</v>
      </c>
      <c r="E41" s="976">
        <f t="shared" si="55"/>
        <v>1.6480000000000001</v>
      </c>
      <c r="F41" s="976">
        <f t="shared" si="46"/>
        <v>15.150064000000004</v>
      </c>
      <c r="G41" s="977">
        <f t="shared" si="47"/>
        <v>15.150064000000004</v>
      </c>
      <c r="H41" s="998">
        <f t="shared" si="48"/>
        <v>1.6480000000000004</v>
      </c>
      <c r="I41" s="446">
        <f>'[12]Actuals apprd'!$F$17</f>
        <v>47.628043429999927</v>
      </c>
      <c r="J41" s="445"/>
      <c r="K41" s="490">
        <f t="shared" si="26"/>
        <v>1.321645799518204</v>
      </c>
      <c r="L41" s="446">
        <f>'[12]Actuals apprd'!$N$17</f>
        <v>6.2947403538529993</v>
      </c>
      <c r="M41" s="446">
        <f t="shared" si="44"/>
        <v>6.2947403538529993</v>
      </c>
      <c r="N41" s="490">
        <f t="shared" si="49"/>
        <v>1.321645799518204</v>
      </c>
      <c r="O41" s="978">
        <f t="shared" si="50"/>
        <v>91.038279000000003</v>
      </c>
      <c r="P41" s="446">
        <f t="shared" si="51"/>
        <v>43.410235570000076</v>
      </c>
      <c r="Q41" s="446"/>
      <c r="R41" s="446"/>
      <c r="S41" s="446"/>
      <c r="T41" s="446">
        <f t="shared" si="52"/>
        <v>5.7372955497186329</v>
      </c>
      <c r="U41" s="446">
        <f t="shared" si="53"/>
        <v>1.321645799518204</v>
      </c>
      <c r="V41" s="446">
        <f t="shared" si="14"/>
        <v>91.038279000000003</v>
      </c>
      <c r="W41" s="447">
        <f t="shared" si="14"/>
        <v>0</v>
      </c>
      <c r="X41" s="447"/>
      <c r="Y41" s="447">
        <f t="shared" si="56"/>
        <v>12.032035903571632</v>
      </c>
      <c r="Z41" s="447">
        <f t="shared" si="15"/>
        <v>12.032035903571632</v>
      </c>
      <c r="AA41" s="447">
        <f t="shared" si="16"/>
        <v>1.321645799518204</v>
      </c>
      <c r="AC41" s="448">
        <f t="shared" si="17"/>
        <v>0</v>
      </c>
      <c r="AE41">
        <f t="shared" si="57"/>
        <v>91.93</v>
      </c>
      <c r="AF41" s="448">
        <f>'[13]FY 21'!AF41</f>
        <v>91.93</v>
      </c>
      <c r="AG41" s="448">
        <f>'[13]FY 20'!E43</f>
        <v>1.6</v>
      </c>
      <c r="AH41">
        <f t="shared" si="58"/>
        <v>1.6480000000000001</v>
      </c>
      <c r="AI41" s="448">
        <f t="shared" si="45"/>
        <v>-4.8000000000000043E-2</v>
      </c>
      <c r="AQ41" s="976">
        <v>91.93</v>
      </c>
    </row>
    <row r="42" spans="1:43" ht="31.5" x14ac:dyDescent="0.2">
      <c r="A42" s="974" t="s">
        <v>1006</v>
      </c>
      <c r="B42" s="975">
        <v>2</v>
      </c>
      <c r="C42" s="976">
        <f t="shared" si="54"/>
        <v>62.6</v>
      </c>
      <c r="D42" s="976">
        <v>0</v>
      </c>
      <c r="E42" s="976">
        <f t="shared" si="55"/>
        <v>0.98880000000000001</v>
      </c>
      <c r="F42" s="976">
        <f t="shared" si="46"/>
        <v>6.1898880000000007</v>
      </c>
      <c r="G42" s="977">
        <f t="shared" si="47"/>
        <v>6.1898880000000007</v>
      </c>
      <c r="H42" s="998">
        <f t="shared" si="48"/>
        <v>0.98880000000000012</v>
      </c>
      <c r="I42" s="446">
        <f>'[12]Actuals apprd'!$F$10</f>
        <v>24.788260000000037</v>
      </c>
      <c r="J42" s="445"/>
      <c r="K42" s="490">
        <f t="shared" si="26"/>
        <v>0.76972243594346579</v>
      </c>
      <c r="L42" s="446">
        <f>'[12]Actuals apprd'!$N$10</f>
        <v>1.9080079870000004</v>
      </c>
      <c r="M42" s="446">
        <f t="shared" si="44"/>
        <v>1.9080079870000004</v>
      </c>
      <c r="N42" s="490">
        <f t="shared" si="49"/>
        <v>0.76972243594346579</v>
      </c>
      <c r="O42" s="978">
        <f t="shared" si="50"/>
        <v>61.992780000000003</v>
      </c>
      <c r="P42" s="446">
        <f t="shared" si="51"/>
        <v>37.204519999999967</v>
      </c>
      <c r="Q42" s="446"/>
      <c r="R42" s="446"/>
      <c r="S42" s="446"/>
      <c r="T42" s="446">
        <f t="shared" si="52"/>
        <v>2.8637153762507368</v>
      </c>
      <c r="U42" s="446">
        <f t="shared" si="53"/>
        <v>0.76972243594346579</v>
      </c>
      <c r="V42" s="446">
        <f t="shared" si="14"/>
        <v>61.992780000000003</v>
      </c>
      <c r="W42" s="447">
        <f t="shared" si="14"/>
        <v>0</v>
      </c>
      <c r="X42" s="447"/>
      <c r="Y42" s="447">
        <f t="shared" si="56"/>
        <v>4.7717233632507376</v>
      </c>
      <c r="Z42" s="447">
        <f t="shared" si="15"/>
        <v>4.7717233632507376</v>
      </c>
      <c r="AA42" s="447">
        <f t="shared" si="16"/>
        <v>0.76972243594346601</v>
      </c>
      <c r="AC42" s="448">
        <f t="shared" si="17"/>
        <v>0</v>
      </c>
      <c r="AE42">
        <f t="shared" si="57"/>
        <v>62.6</v>
      </c>
      <c r="AF42" s="448">
        <f>'[13]FY 21'!AF42</f>
        <v>62.6</v>
      </c>
      <c r="AG42" s="448">
        <f>'[13]FY 20'!E44</f>
        <v>0.96</v>
      </c>
      <c r="AH42">
        <f t="shared" si="58"/>
        <v>0.98880000000000001</v>
      </c>
      <c r="AI42" s="448">
        <f t="shared" si="45"/>
        <v>-2.8800000000000048E-2</v>
      </c>
      <c r="AQ42" s="976">
        <v>62.6</v>
      </c>
    </row>
    <row r="43" spans="1:43" ht="31.5" x14ac:dyDescent="0.2">
      <c r="A43" s="974" t="s">
        <v>1007</v>
      </c>
      <c r="B43" s="975">
        <v>17.917000000000002</v>
      </c>
      <c r="C43" s="976">
        <f t="shared" si="54"/>
        <v>193.36</v>
      </c>
      <c r="D43" s="976">
        <v>0</v>
      </c>
      <c r="E43" s="976">
        <f t="shared" si="55"/>
        <v>1.3029499999999998</v>
      </c>
      <c r="F43" s="976">
        <f>C43*E43/10</f>
        <v>25.193841199999998</v>
      </c>
      <c r="G43" s="977">
        <f t="shared" si="47"/>
        <v>25.193841199999998</v>
      </c>
      <c r="H43" s="998">
        <f t="shared" si="48"/>
        <v>1.3029499999999996</v>
      </c>
      <c r="I43" s="446">
        <f>'[12]Actuals apprd'!$F$11</f>
        <v>115.40151923220004</v>
      </c>
      <c r="J43" s="445"/>
      <c r="K43" s="490">
        <f t="shared" si="26"/>
        <v>1.1588103255069662</v>
      </c>
      <c r="L43" s="446">
        <f>'[12]Actuals apprd'!$N$11+'[12]Actuals apprd'!$N$12</f>
        <v>13.372847206546414</v>
      </c>
      <c r="M43" s="446">
        <f t="shared" si="44"/>
        <v>13.372847206546414</v>
      </c>
      <c r="N43" s="490">
        <f t="shared" si="49"/>
        <v>1.1588103255069662</v>
      </c>
      <c r="O43" s="978">
        <f t="shared" si="50"/>
        <v>191.484408</v>
      </c>
      <c r="P43" s="446">
        <f t="shared" si="51"/>
        <v>76.082888767799957</v>
      </c>
      <c r="Q43" s="446"/>
      <c r="R43" s="446"/>
      <c r="S43" s="446"/>
      <c r="T43" s="446">
        <f t="shared" si="52"/>
        <v>8.8165637098524563</v>
      </c>
      <c r="U43" s="446">
        <f t="shared" si="53"/>
        <v>1.1588103255069662</v>
      </c>
      <c r="V43" s="446">
        <f t="shared" si="14"/>
        <v>191.484408</v>
      </c>
      <c r="W43" s="447">
        <f t="shared" si="14"/>
        <v>0</v>
      </c>
      <c r="X43" s="447"/>
      <c r="Y43" s="447">
        <f t="shared" si="56"/>
        <v>22.18941091639887</v>
      </c>
      <c r="Z43" s="447">
        <f t="shared" si="15"/>
        <v>22.18941091639887</v>
      </c>
      <c r="AA43" s="447">
        <f t="shared" si="16"/>
        <v>1.1588103255069662</v>
      </c>
      <c r="AC43" s="448">
        <f t="shared" si="17"/>
        <v>0</v>
      </c>
      <c r="AE43">
        <f t="shared" si="57"/>
        <v>193.36</v>
      </c>
      <c r="AF43" s="448">
        <f>'[13]FY 21'!AF43</f>
        <v>193.36</v>
      </c>
      <c r="AG43" s="448">
        <f>'[13]FY 20'!E45</f>
        <v>1.2649999999999999</v>
      </c>
      <c r="AH43">
        <f t="shared" si="58"/>
        <v>1.3029499999999998</v>
      </c>
      <c r="AI43" s="448">
        <f t="shared" si="45"/>
        <v>-3.7949999999999928E-2</v>
      </c>
      <c r="AQ43" s="976">
        <v>193.36</v>
      </c>
    </row>
    <row r="44" spans="1:43" ht="31.5" x14ac:dyDescent="0.2">
      <c r="A44" s="974" t="s">
        <v>1008</v>
      </c>
      <c r="B44" s="975">
        <v>17.917000000000002</v>
      </c>
      <c r="C44" s="976">
        <f t="shared" si="54"/>
        <v>79.27</v>
      </c>
      <c r="D44" s="976">
        <v>0</v>
      </c>
      <c r="E44" s="976">
        <f t="shared" si="55"/>
        <v>1.2875000000000001</v>
      </c>
      <c r="F44" s="976">
        <f t="shared" si="46"/>
        <v>10.2060125</v>
      </c>
      <c r="G44" s="977">
        <f t="shared" si="47"/>
        <v>10.2060125</v>
      </c>
      <c r="H44" s="998">
        <f t="shared" si="48"/>
        <v>1.2875000000000001</v>
      </c>
      <c r="I44" s="446">
        <f>'[12]Actuals apprd'!$F$18</f>
        <v>60.515940202999964</v>
      </c>
      <c r="J44" s="445"/>
      <c r="K44" s="490">
        <f t="shared" si="26"/>
        <v>0.98086607724071129</v>
      </c>
      <c r="L44" s="446">
        <f>'[12]Actuals apprd'!$N$18</f>
        <v>5.9358032877450029</v>
      </c>
      <c r="M44" s="446">
        <f t="shared" si="44"/>
        <v>5.9358032877450029</v>
      </c>
      <c r="N44" s="490">
        <f t="shared" si="49"/>
        <v>0.98086607724071129</v>
      </c>
      <c r="O44" s="978">
        <f t="shared" si="50"/>
        <v>78.501080999999999</v>
      </c>
      <c r="P44" s="446">
        <f t="shared" si="51"/>
        <v>17.985140797000035</v>
      </c>
      <c r="Q44" s="446"/>
      <c r="R44" s="446"/>
      <c r="S44" s="446"/>
      <c r="T44" s="446">
        <f t="shared" si="52"/>
        <v>1.7641014502175305</v>
      </c>
      <c r="U44" s="446">
        <f t="shared" si="53"/>
        <v>0.98086607724071129</v>
      </c>
      <c r="V44" s="446">
        <f t="shared" si="14"/>
        <v>78.501080999999999</v>
      </c>
      <c r="W44" s="447">
        <f t="shared" si="14"/>
        <v>0</v>
      </c>
      <c r="X44" s="447"/>
      <c r="Y44" s="447">
        <f t="shared" si="56"/>
        <v>7.6999047379625338</v>
      </c>
      <c r="Z44" s="447">
        <f t="shared" si="15"/>
        <v>7.6999047379625338</v>
      </c>
      <c r="AA44" s="447">
        <f t="shared" si="16"/>
        <v>0.9808660772407114</v>
      </c>
      <c r="AC44" s="448">
        <f t="shared" si="17"/>
        <v>0</v>
      </c>
      <c r="AE44">
        <f t="shared" si="57"/>
        <v>79.27</v>
      </c>
      <c r="AF44" s="448">
        <f>'[13]FY 21'!AF44</f>
        <v>79.27</v>
      </c>
      <c r="AG44" s="448">
        <f>'[13]FY 20'!E46</f>
        <v>1.25</v>
      </c>
      <c r="AH44">
        <f t="shared" si="58"/>
        <v>1.2875000000000001</v>
      </c>
      <c r="AI44" s="448">
        <f t="shared" si="45"/>
        <v>-3.7500000000000089E-2</v>
      </c>
      <c r="AQ44" s="976">
        <v>79.27</v>
      </c>
    </row>
    <row r="45" spans="1:43" ht="47.25" x14ac:dyDescent="0.2">
      <c r="A45" s="988" t="s">
        <v>1009</v>
      </c>
      <c r="B45" s="975">
        <v>17.917000000000002</v>
      </c>
      <c r="C45" s="976">
        <f t="shared" si="54"/>
        <v>8.6</v>
      </c>
      <c r="D45" s="976">
        <v>0</v>
      </c>
      <c r="E45" s="976">
        <f t="shared" si="55"/>
        <v>4.6967999999999996</v>
      </c>
      <c r="F45" s="976">
        <f t="shared" si="46"/>
        <v>4.0392479999999988</v>
      </c>
      <c r="G45" s="977">
        <f t="shared" si="47"/>
        <v>4.0392479999999988</v>
      </c>
      <c r="H45" s="998">
        <f t="shared" si="48"/>
        <v>4.6967999999999988</v>
      </c>
      <c r="I45" s="446">
        <f>'[12]Actuals apprd'!$F$9</f>
        <v>4.7509304017200007</v>
      </c>
      <c r="J45" s="445"/>
      <c r="K45" s="490">
        <f t="shared" si="26"/>
        <v>4.0613172540444777</v>
      </c>
      <c r="L45" s="446">
        <f>'[12]Actuals apprd'!$N$9</f>
        <v>1.9295035613269902</v>
      </c>
      <c r="M45" s="446">
        <f t="shared" si="44"/>
        <v>1.9295035613269902</v>
      </c>
      <c r="N45" s="490">
        <f t="shared" si="49"/>
        <v>4.0613172540444777</v>
      </c>
      <c r="O45" s="978">
        <f t="shared" si="50"/>
        <v>8.5165799999999994</v>
      </c>
      <c r="P45" s="446">
        <f t="shared" si="51"/>
        <v>3.7656495982799987</v>
      </c>
      <c r="Q45" s="446"/>
      <c r="R45" s="446"/>
      <c r="S45" s="446"/>
      <c r="T45" s="446">
        <f t="shared" si="52"/>
        <v>1.5293497686180215</v>
      </c>
      <c r="U45" s="446">
        <f t="shared" si="53"/>
        <v>4.0613172540444777</v>
      </c>
      <c r="V45" s="446">
        <f t="shared" si="14"/>
        <v>8.5165799999999994</v>
      </c>
      <c r="W45" s="447">
        <f t="shared" si="14"/>
        <v>0</v>
      </c>
      <c r="X45" s="447"/>
      <c r="Y45" s="447">
        <f t="shared" si="56"/>
        <v>3.4588533299450117</v>
      </c>
      <c r="Z45" s="447">
        <f t="shared" si="15"/>
        <v>3.4588533299450117</v>
      </c>
      <c r="AA45" s="447">
        <f t="shared" si="16"/>
        <v>4.0613172540444777</v>
      </c>
      <c r="AC45" s="448">
        <f t="shared" si="17"/>
        <v>0</v>
      </c>
      <c r="AE45">
        <f t="shared" si="57"/>
        <v>8.6</v>
      </c>
      <c r="AF45" s="448">
        <f>'[13]FY 21'!AF45</f>
        <v>8.6</v>
      </c>
      <c r="AG45" s="448">
        <f>'[13]FY 20'!E47</f>
        <v>4.5599999999999996</v>
      </c>
      <c r="AH45">
        <f t="shared" si="58"/>
        <v>4.6967999999999996</v>
      </c>
      <c r="AI45" s="448">
        <f t="shared" si="45"/>
        <v>-0.13680000000000003</v>
      </c>
      <c r="AQ45" s="976">
        <v>8.6</v>
      </c>
    </row>
    <row r="46" spans="1:43" ht="31.5" x14ac:dyDescent="0.2">
      <c r="A46" s="974" t="s">
        <v>1010</v>
      </c>
      <c r="B46" s="975">
        <v>17.917000000000002</v>
      </c>
      <c r="C46" s="976">
        <f t="shared" si="54"/>
        <v>65.47</v>
      </c>
      <c r="D46" s="976">
        <v>0</v>
      </c>
      <c r="E46" s="976">
        <f t="shared" si="55"/>
        <v>1.8540000000000001</v>
      </c>
      <c r="F46" s="976">
        <f t="shared" si="46"/>
        <v>12.138138000000001</v>
      </c>
      <c r="G46" s="977">
        <f t="shared" si="47"/>
        <v>12.138138000000001</v>
      </c>
      <c r="H46" s="998">
        <f t="shared" si="48"/>
        <v>1.8540000000000003</v>
      </c>
      <c r="I46" s="446">
        <f>'[12]Actuals apprd'!$F$15</f>
        <v>40.531067635000014</v>
      </c>
      <c r="J46" s="445"/>
      <c r="K46" s="490">
        <f t="shared" si="26"/>
        <v>1.601840769874652</v>
      </c>
      <c r="L46" s="446">
        <f>'[12]Actuals apprd'!$N$15</f>
        <v>6.4924316584290009</v>
      </c>
      <c r="M46" s="446">
        <f t="shared" si="44"/>
        <v>6.4924316584290009</v>
      </c>
      <c r="N46" s="490">
        <f t="shared" si="49"/>
        <v>1.601840769874652</v>
      </c>
      <c r="O46" s="978">
        <f t="shared" si="50"/>
        <v>64.834941000000001</v>
      </c>
      <c r="P46" s="446">
        <f t="shared" si="51"/>
        <v>24.303873364999987</v>
      </c>
      <c r="Q46" s="446"/>
      <c r="R46" s="446"/>
      <c r="S46" s="446"/>
      <c r="T46" s="446">
        <f t="shared" si="52"/>
        <v>3.8930935221927627</v>
      </c>
      <c r="U46" s="446">
        <f t="shared" si="53"/>
        <v>1.601840769874652</v>
      </c>
      <c r="V46" s="446">
        <f t="shared" si="14"/>
        <v>64.834941000000001</v>
      </c>
      <c r="W46" s="447">
        <f t="shared" si="14"/>
        <v>0</v>
      </c>
      <c r="X46" s="447"/>
      <c r="Y46" s="447">
        <f t="shared" si="56"/>
        <v>10.385525180621764</v>
      </c>
      <c r="Z46" s="447">
        <f t="shared" si="15"/>
        <v>10.385525180621764</v>
      </c>
      <c r="AA46" s="447">
        <f t="shared" si="16"/>
        <v>1.601840769874652</v>
      </c>
      <c r="AC46" s="448">
        <f t="shared" si="17"/>
        <v>0</v>
      </c>
      <c r="AE46">
        <f t="shared" si="57"/>
        <v>65.47</v>
      </c>
      <c r="AF46" s="448">
        <f>'[13]FY 21'!AF46</f>
        <v>65.47</v>
      </c>
      <c r="AG46" s="448">
        <f>'[13]FY 20'!E48</f>
        <v>1.8</v>
      </c>
      <c r="AH46">
        <f t="shared" si="58"/>
        <v>1.8540000000000001</v>
      </c>
      <c r="AI46" s="448">
        <f t="shared" si="45"/>
        <v>-5.4000000000000048E-2</v>
      </c>
      <c r="AQ46" s="976">
        <v>65.47</v>
      </c>
    </row>
    <row r="47" spans="1:43" ht="31.5" x14ac:dyDescent="0.2">
      <c r="A47" s="974" t="s">
        <v>1011</v>
      </c>
      <c r="B47" s="975">
        <v>17.917000000000002</v>
      </c>
      <c r="C47" s="976">
        <f t="shared" si="54"/>
        <v>62.42</v>
      </c>
      <c r="D47" s="976">
        <v>0</v>
      </c>
      <c r="E47" s="976">
        <f t="shared" si="55"/>
        <v>1.5449999999999999</v>
      </c>
      <c r="F47" s="976">
        <f t="shared" si="46"/>
        <v>9.6438900000000007</v>
      </c>
      <c r="G47" s="977">
        <f t="shared" si="47"/>
        <v>9.6438900000000007</v>
      </c>
      <c r="H47" s="998">
        <f t="shared" si="48"/>
        <v>1.5449999999999999</v>
      </c>
      <c r="I47" s="446">
        <f>'[12]Actuals apprd'!$F$16</f>
        <v>29.322835752000003</v>
      </c>
      <c r="J47" s="445"/>
      <c r="K47" s="490">
        <f t="shared" si="26"/>
        <v>1.3383728001187498</v>
      </c>
      <c r="L47" s="446">
        <f>'[12]Actuals apprd'!$N$16</f>
        <v>3.9244885792826429</v>
      </c>
      <c r="M47" s="446">
        <f t="shared" si="44"/>
        <v>3.9244885792826429</v>
      </c>
      <c r="N47" s="490">
        <f t="shared" si="49"/>
        <v>1.3383728001187498</v>
      </c>
      <c r="O47" s="978">
        <f t="shared" si="50"/>
        <v>61.814526000000001</v>
      </c>
      <c r="P47" s="446">
        <f t="shared" si="51"/>
        <v>32.491690247999998</v>
      </c>
      <c r="Q47" s="446"/>
      <c r="R47" s="446"/>
      <c r="S47" s="446"/>
      <c r="T47" s="446">
        <f t="shared" si="52"/>
        <v>4.3485994457806836</v>
      </c>
      <c r="U47" s="446">
        <f t="shared" si="53"/>
        <v>1.3383728001187498</v>
      </c>
      <c r="V47" s="446">
        <f t="shared" si="14"/>
        <v>61.814526000000001</v>
      </c>
      <c r="W47" s="447">
        <f t="shared" si="14"/>
        <v>0</v>
      </c>
      <c r="X47" s="447"/>
      <c r="Y47" s="447">
        <f t="shared" si="56"/>
        <v>8.273088025063327</v>
      </c>
      <c r="Z47" s="447">
        <f t="shared" si="15"/>
        <v>8.273088025063327</v>
      </c>
      <c r="AA47" s="447">
        <f t="shared" si="16"/>
        <v>1.3383728001187498</v>
      </c>
      <c r="AC47" s="448">
        <f t="shared" si="17"/>
        <v>0</v>
      </c>
      <c r="AE47">
        <f t="shared" si="57"/>
        <v>62.42</v>
      </c>
      <c r="AF47" s="448">
        <f>'[13]FY 21'!AF47</f>
        <v>62.42</v>
      </c>
      <c r="AG47" s="448">
        <f>'[13]FY 20'!E49</f>
        <v>1.5</v>
      </c>
      <c r="AH47">
        <f t="shared" si="58"/>
        <v>1.5449999999999999</v>
      </c>
      <c r="AI47" s="448">
        <f t="shared" si="45"/>
        <v>-4.4999999999999929E-2</v>
      </c>
      <c r="AQ47" s="976">
        <v>62.42</v>
      </c>
    </row>
    <row r="48" spans="1:43" ht="47.25" x14ac:dyDescent="0.2">
      <c r="A48" s="988" t="s">
        <v>1012</v>
      </c>
      <c r="B48" s="975">
        <v>17.917000000000002</v>
      </c>
      <c r="C48" s="976">
        <f t="shared" si="54"/>
        <v>12.96</v>
      </c>
      <c r="D48" s="976">
        <v>0</v>
      </c>
      <c r="E48" s="976">
        <f t="shared" si="55"/>
        <v>1.8025</v>
      </c>
      <c r="F48" s="976">
        <f t="shared" si="46"/>
        <v>2.3360400000000001</v>
      </c>
      <c r="G48" s="977">
        <f t="shared" si="47"/>
        <v>2.3360400000000001</v>
      </c>
      <c r="H48" s="998">
        <f t="shared" si="48"/>
        <v>1.8025</v>
      </c>
      <c r="I48" s="446">
        <f>'[12]Actuals apprd'!$F$13</f>
        <v>6.3119881484600002</v>
      </c>
      <c r="J48" s="445"/>
      <c r="K48" s="490">
        <f t="shared" si="26"/>
        <v>1.7273220670354359</v>
      </c>
      <c r="L48" s="446">
        <f>'[12]Actuals apprd'!$N$13</f>
        <v>1.09028364157011</v>
      </c>
      <c r="M48" s="446">
        <f t="shared" si="44"/>
        <v>1.09028364157011</v>
      </c>
      <c r="N48" s="490">
        <f t="shared" si="49"/>
        <v>1.7273220670354359</v>
      </c>
      <c r="O48" s="978">
        <f t="shared" si="50"/>
        <v>12.834288000000001</v>
      </c>
      <c r="P48" s="446">
        <f t="shared" si="51"/>
        <v>6.5222998515400006</v>
      </c>
      <c r="Q48" s="446"/>
      <c r="R48" s="446"/>
      <c r="S48" s="446"/>
      <c r="T48" s="446">
        <f t="shared" si="52"/>
        <v>1.126611246138699</v>
      </c>
      <c r="U48" s="446">
        <f t="shared" si="53"/>
        <v>1.7273220670354359</v>
      </c>
      <c r="V48" s="446">
        <f t="shared" si="14"/>
        <v>12.834288000000001</v>
      </c>
      <c r="W48" s="447">
        <f t="shared" si="14"/>
        <v>0</v>
      </c>
      <c r="X48" s="447"/>
      <c r="Y48" s="447">
        <f t="shared" si="56"/>
        <v>2.216894887708809</v>
      </c>
      <c r="Z48" s="447">
        <f t="shared" si="15"/>
        <v>2.216894887708809</v>
      </c>
      <c r="AA48" s="447">
        <f t="shared" si="16"/>
        <v>1.7273220670354359</v>
      </c>
      <c r="AC48" s="448">
        <f t="shared" si="17"/>
        <v>0</v>
      </c>
      <c r="AE48">
        <f t="shared" si="57"/>
        <v>12.96</v>
      </c>
      <c r="AF48" s="448">
        <f>'[13]FY 21'!AF48</f>
        <v>12.96</v>
      </c>
      <c r="AG48" s="448">
        <f>'[13]FY 20'!E50</f>
        <v>1.75</v>
      </c>
      <c r="AH48">
        <f t="shared" si="58"/>
        <v>1.8025</v>
      </c>
      <c r="AI48" s="448">
        <f t="shared" si="45"/>
        <v>-5.2499999999999991E-2</v>
      </c>
      <c r="AQ48" s="976">
        <v>12.96</v>
      </c>
    </row>
    <row r="49" spans="1:43" ht="47.25" x14ac:dyDescent="0.2">
      <c r="A49" s="974" t="s">
        <v>1013</v>
      </c>
      <c r="B49" s="975">
        <v>17.917000000000002</v>
      </c>
      <c r="C49" s="976">
        <f t="shared" si="54"/>
        <v>43.49</v>
      </c>
      <c r="D49" s="976">
        <v>0</v>
      </c>
      <c r="E49" s="976">
        <f t="shared" si="55"/>
        <v>1.3905000000000001</v>
      </c>
      <c r="F49" s="976">
        <f t="shared" si="46"/>
        <v>6.0472845000000008</v>
      </c>
      <c r="G49" s="977">
        <f t="shared" si="47"/>
        <v>6.0472845000000008</v>
      </c>
      <c r="H49" s="998">
        <f t="shared" si="48"/>
        <v>1.3905000000000001</v>
      </c>
      <c r="I49" s="446">
        <f>'[12]Actuals apprd'!$F$20+'[12]Actuals apprd'!$F$21</f>
        <v>27.081678553619994</v>
      </c>
      <c r="J49" s="445"/>
      <c r="K49" s="490">
        <f t="shared" si="26"/>
        <v>0.9298991685518464</v>
      </c>
      <c r="L49" s="446">
        <f>'[12]Actuals apprd'!$N$20</f>
        <v>2.5183230369999601</v>
      </c>
      <c r="M49" s="446">
        <f t="shared" si="44"/>
        <v>2.5183230369999601</v>
      </c>
      <c r="N49" s="490">
        <f t="shared" si="49"/>
        <v>0.9298991685518464</v>
      </c>
      <c r="O49" s="978">
        <f t="shared" si="50"/>
        <v>43.068147000000003</v>
      </c>
      <c r="P49" s="446">
        <f t="shared" si="51"/>
        <v>15.986468446380009</v>
      </c>
      <c r="Q49" s="446"/>
      <c r="R49" s="446"/>
      <c r="S49" s="446"/>
      <c r="T49" s="446">
        <f t="shared" si="52"/>
        <v>1.4865803716369097</v>
      </c>
      <c r="U49" s="446">
        <f t="shared" si="53"/>
        <v>0.9298991685518464</v>
      </c>
      <c r="V49" s="446">
        <f t="shared" si="14"/>
        <v>43.068147000000003</v>
      </c>
      <c r="W49" s="447">
        <f t="shared" si="14"/>
        <v>0</v>
      </c>
      <c r="X49" s="447"/>
      <c r="Y49" s="447">
        <f t="shared" si="56"/>
        <v>4.0049034086368698</v>
      </c>
      <c r="Z49" s="447">
        <f t="shared" si="15"/>
        <v>4.0049034086368698</v>
      </c>
      <c r="AA49" s="447">
        <f t="shared" si="16"/>
        <v>0.9298991685518464</v>
      </c>
      <c r="AC49" s="448">
        <f t="shared" si="17"/>
        <v>0</v>
      </c>
      <c r="AE49">
        <f t="shared" si="57"/>
        <v>43.49</v>
      </c>
      <c r="AF49" s="448">
        <f>'[13]FY 21'!AF49</f>
        <v>43.49</v>
      </c>
      <c r="AG49" s="448">
        <f>'[13]FY 20'!E51</f>
        <v>1.35</v>
      </c>
      <c r="AH49">
        <f t="shared" si="58"/>
        <v>1.3905000000000001</v>
      </c>
      <c r="AI49" s="448">
        <f t="shared" si="45"/>
        <v>-4.049999999999998E-2</v>
      </c>
      <c r="AQ49" s="976">
        <v>43.49</v>
      </c>
    </row>
    <row r="50" spans="1:43" ht="31.5" x14ac:dyDescent="0.2">
      <c r="A50" s="974" t="s">
        <v>1014</v>
      </c>
      <c r="B50" s="975">
        <v>17.917000000000002</v>
      </c>
      <c r="C50" s="976">
        <f t="shared" si="54"/>
        <v>16.38</v>
      </c>
      <c r="D50" s="976">
        <v>0</v>
      </c>
      <c r="E50" s="976">
        <f t="shared" si="55"/>
        <v>1.0918000000000001</v>
      </c>
      <c r="F50" s="976">
        <f t="shared" si="46"/>
        <v>1.7883684000000002</v>
      </c>
      <c r="G50" s="977">
        <f t="shared" si="47"/>
        <v>1.7883684000000002</v>
      </c>
      <c r="H50" s="998">
        <f t="shared" si="48"/>
        <v>1.0918000000000001</v>
      </c>
      <c r="I50" s="446">
        <f>'[12]Actuals apprd'!$F$22</f>
        <v>9.4245940000000008</v>
      </c>
      <c r="J50" s="445"/>
      <c r="K50" s="490">
        <f t="shared" si="26"/>
        <v>0.6252657048155128</v>
      </c>
      <c r="L50" s="446">
        <f>'[12]Actuals apprd'!$N$22</f>
        <v>0.58928754100100533</v>
      </c>
      <c r="M50" s="446">
        <f t="shared" si="44"/>
        <v>0.58928754100100533</v>
      </c>
      <c r="N50" s="490">
        <f t="shared" si="49"/>
        <v>0.6252657048155128</v>
      </c>
      <c r="O50" s="978">
        <f t="shared" si="50"/>
        <v>16.221114</v>
      </c>
      <c r="P50" s="446">
        <f t="shared" si="51"/>
        <v>6.7965199999999992</v>
      </c>
      <c r="Q50" s="446"/>
      <c r="R50" s="446"/>
      <c r="S50" s="446"/>
      <c r="T50" s="446">
        <f t="shared" si="52"/>
        <v>0.42496308680927281</v>
      </c>
      <c r="U50" s="446">
        <f t="shared" si="53"/>
        <v>0.6252657048155128</v>
      </c>
      <c r="V50" s="446">
        <f t="shared" si="14"/>
        <v>16.221114</v>
      </c>
      <c r="W50" s="447">
        <f t="shared" si="14"/>
        <v>0</v>
      </c>
      <c r="X50" s="447"/>
      <c r="Y50" s="447">
        <f t="shared" si="56"/>
        <v>1.0142506278102781</v>
      </c>
      <c r="Z50" s="447">
        <f t="shared" si="15"/>
        <v>1.0142506278102781</v>
      </c>
      <c r="AA50" s="447">
        <f t="shared" si="16"/>
        <v>0.6252657048155128</v>
      </c>
      <c r="AC50" s="448">
        <f t="shared" si="17"/>
        <v>0</v>
      </c>
      <c r="AE50">
        <f t="shared" si="57"/>
        <v>16.38</v>
      </c>
      <c r="AF50" s="448">
        <f>'[13]FY 21'!AF50</f>
        <v>16.38</v>
      </c>
      <c r="AG50" s="448">
        <f>'[13]FY 20'!E52</f>
        <v>1.06</v>
      </c>
      <c r="AH50">
        <f t="shared" si="58"/>
        <v>1.0918000000000001</v>
      </c>
      <c r="AI50" s="448">
        <f t="shared" si="45"/>
        <v>-3.180000000000005E-2</v>
      </c>
      <c r="AQ50" s="976">
        <v>16.38</v>
      </c>
    </row>
    <row r="51" spans="1:43" ht="15.75" x14ac:dyDescent="0.2">
      <c r="A51" s="979" t="s">
        <v>1015</v>
      </c>
      <c r="B51" s="980"/>
      <c r="C51" s="981">
        <f>SUM(C39:C50)</f>
        <v>744.56000000000006</v>
      </c>
      <c r="D51" s="981">
        <f>SUM(D39:D50)</f>
        <v>0</v>
      </c>
      <c r="E51" s="981">
        <f>F51/C51*10</f>
        <v>1.3729986045449658</v>
      </c>
      <c r="F51" s="981">
        <f>SUM(F39:F50)</f>
        <v>102.22798409999999</v>
      </c>
      <c r="G51" s="982">
        <f>SUM(G39:G50)</f>
        <v>102.22798409999999</v>
      </c>
      <c r="H51" s="981">
        <f>E51</f>
        <v>1.3729986045449658</v>
      </c>
      <c r="I51" s="983">
        <f>SUM(I39:I50)</f>
        <v>415.77363765979999</v>
      </c>
      <c r="J51" s="365"/>
      <c r="K51" s="365"/>
      <c r="L51" s="983">
        <f>SUM(L39:L50)</f>
        <v>46.948063786859329</v>
      </c>
      <c r="M51" s="983">
        <f>SUM(M39:M50)</f>
        <v>46.948063786859329</v>
      </c>
      <c r="N51" s="490">
        <f t="shared" si="49"/>
        <v>1.1291736544699791</v>
      </c>
      <c r="O51" s="984">
        <f>SUM(O39:O50)</f>
        <v>737.33776799999987</v>
      </c>
      <c r="P51" s="983">
        <f>SUM(P39:P50)</f>
        <v>321.56413034020005</v>
      </c>
      <c r="Q51" s="983">
        <f t="shared" ref="Q51:V51" si="59">SUM(Q39:Q50)</f>
        <v>0</v>
      </c>
      <c r="R51" s="983">
        <f t="shared" si="59"/>
        <v>0</v>
      </c>
      <c r="S51" s="983">
        <f t="shared" si="59"/>
        <v>0</v>
      </c>
      <c r="T51" s="983">
        <f t="shared" si="59"/>
        <v>35.159969186113244</v>
      </c>
      <c r="U51" s="446">
        <f t="shared" si="53"/>
        <v>1.0934045768387044</v>
      </c>
      <c r="V51" s="983">
        <f t="shared" si="59"/>
        <v>737.33776799999987</v>
      </c>
      <c r="W51" s="447">
        <f t="shared" si="14"/>
        <v>0</v>
      </c>
      <c r="X51" s="447"/>
      <c r="Y51" s="983">
        <f>SUM(Y39:Y50)</f>
        <v>82.10803297297258</v>
      </c>
      <c r="Z51" s="983">
        <f>SUM(Z39:Z50)</f>
        <v>82.10803297297258</v>
      </c>
      <c r="AA51" s="985">
        <f t="shared" si="16"/>
        <v>1.1135742198000713</v>
      </c>
      <c r="AC51" s="448">
        <f t="shared" si="17"/>
        <v>0</v>
      </c>
    </row>
    <row r="52" spans="1:43" ht="15.75" x14ac:dyDescent="0.2">
      <c r="A52" s="974" t="s">
        <v>1016</v>
      </c>
      <c r="B52" s="986"/>
      <c r="C52" s="986"/>
      <c r="D52" s="986"/>
      <c r="E52" s="986"/>
      <c r="F52" s="986"/>
      <c r="G52" s="987"/>
      <c r="H52" s="999"/>
      <c r="I52" s="445"/>
      <c r="J52" s="445"/>
      <c r="K52" s="445"/>
      <c r="L52" s="445"/>
      <c r="M52" s="445"/>
      <c r="N52" s="445"/>
      <c r="O52" s="978"/>
      <c r="P52" s="446"/>
      <c r="Q52" s="446"/>
      <c r="R52" s="446"/>
      <c r="S52" s="446"/>
      <c r="T52" s="446"/>
      <c r="U52" s="446"/>
      <c r="V52" s="446"/>
      <c r="W52" s="447"/>
      <c r="X52" s="447"/>
      <c r="Y52" s="447"/>
      <c r="Z52" s="447"/>
      <c r="AA52" s="447"/>
      <c r="AC52" s="448"/>
    </row>
    <row r="53" spans="1:43" ht="47.25" x14ac:dyDescent="0.2">
      <c r="A53" s="974" t="s">
        <v>1017</v>
      </c>
      <c r="B53" s="975">
        <v>17.917000000000002</v>
      </c>
      <c r="C53" s="976">
        <v>16.25</v>
      </c>
      <c r="D53" s="976">
        <v>0</v>
      </c>
      <c r="E53" s="976">
        <f>F53/C53*10</f>
        <v>6.4676923076923076</v>
      </c>
      <c r="F53" s="976">
        <v>10.51</v>
      </c>
      <c r="G53" s="977">
        <f>F53</f>
        <v>10.51</v>
      </c>
      <c r="H53" s="998">
        <f>G53/C53*10</f>
        <v>6.4676923076923076</v>
      </c>
      <c r="I53" s="446">
        <f>'[12]Actuals apprd'!$F$95</f>
        <v>11.289322370000002</v>
      </c>
      <c r="J53" s="445"/>
      <c r="K53" s="445"/>
      <c r="L53" s="446">
        <f>'[12]Actuals apprd'!$K$95</f>
        <v>5.2546080000000002</v>
      </c>
      <c r="M53" s="446">
        <f>J53+L53</f>
        <v>5.2546080000000002</v>
      </c>
      <c r="N53" s="490">
        <f t="shared" si="49"/>
        <v>4.654493713425599</v>
      </c>
      <c r="O53" s="978">
        <f>C53-(C53*0.97%)</f>
        <v>16.092375000000001</v>
      </c>
      <c r="P53" s="446">
        <f>O53-I53</f>
        <v>4.803052629999998</v>
      </c>
      <c r="Q53" s="446"/>
      <c r="R53" s="446"/>
      <c r="S53" s="446"/>
      <c r="T53" s="446">
        <f>P53*N53/10</f>
        <v>2.2355778271587279</v>
      </c>
      <c r="U53" s="446">
        <f t="shared" si="53"/>
        <v>4.654493713425599</v>
      </c>
      <c r="V53" s="446">
        <f t="shared" si="14"/>
        <v>16.092375000000001</v>
      </c>
      <c r="W53" s="447">
        <f t="shared" si="14"/>
        <v>0</v>
      </c>
      <c r="X53" s="447"/>
      <c r="Y53" s="447">
        <f>M53+T53</f>
        <v>7.4901858271587276</v>
      </c>
      <c r="Z53" s="447">
        <f t="shared" si="15"/>
        <v>7.4901858271587276</v>
      </c>
      <c r="AA53" s="447">
        <f t="shared" si="16"/>
        <v>4.654493713425599</v>
      </c>
      <c r="AC53" s="448">
        <f t="shared" si="17"/>
        <v>0</v>
      </c>
      <c r="AE53">
        <f>(AF53*6%)+AF53</f>
        <v>17.225000000000001</v>
      </c>
      <c r="AF53" s="448">
        <f>'[13]FY 21'!AF53</f>
        <v>16.25</v>
      </c>
      <c r="AG53" s="448">
        <f>'[13]FY 20'!H55</f>
        <v>4.9723076923076928</v>
      </c>
      <c r="AH53">
        <f>(AG53*3%)+AG53</f>
        <v>5.1214769230769237</v>
      </c>
      <c r="AI53" s="448">
        <f>AG53-AH53</f>
        <v>-0.14916923076923094</v>
      </c>
    </row>
    <row r="54" spans="1:43" ht="31.5" x14ac:dyDescent="0.2">
      <c r="A54" s="974" t="s">
        <v>1018</v>
      </c>
      <c r="B54" s="975">
        <v>17.917000000000002</v>
      </c>
      <c r="C54" s="976">
        <v>3.2120000000000002</v>
      </c>
      <c r="D54" s="976">
        <v>0</v>
      </c>
      <c r="E54" s="976"/>
      <c r="F54" s="976">
        <v>0.28999999999999998</v>
      </c>
      <c r="G54" s="977">
        <f>F54</f>
        <v>0.28999999999999998</v>
      </c>
      <c r="H54" s="998">
        <f>G54/C54*10</f>
        <v>0.90286425902864242</v>
      </c>
      <c r="I54" s="446">
        <f>'[12]Actuals apprd'!$F$96</f>
        <v>3.1340201396000005</v>
      </c>
      <c r="J54" s="445"/>
      <c r="K54" s="445"/>
      <c r="L54" s="445"/>
      <c r="M54" s="445"/>
      <c r="N54" s="445"/>
      <c r="O54" s="978">
        <f>C54-(C54*0.97%)</f>
        <v>3.1808436000000002</v>
      </c>
      <c r="P54" s="446">
        <f>O54-I54</f>
        <v>4.6823460399999739E-2</v>
      </c>
      <c r="Q54" s="446"/>
      <c r="R54" s="446"/>
      <c r="S54" s="446"/>
      <c r="T54" s="446">
        <v>0.88</v>
      </c>
      <c r="U54" s="446">
        <f t="shared" si="53"/>
        <v>187.93997549143228</v>
      </c>
      <c r="V54" s="446">
        <f t="shared" si="14"/>
        <v>3.1808436000000002</v>
      </c>
      <c r="W54" s="447">
        <f t="shared" si="14"/>
        <v>0</v>
      </c>
      <c r="X54" s="447"/>
      <c r="Y54" s="447">
        <v>0.88</v>
      </c>
      <c r="Z54" s="447">
        <f t="shared" si="15"/>
        <v>0.88</v>
      </c>
      <c r="AA54" s="447">
        <f t="shared" si="16"/>
        <v>2.7665616756510758</v>
      </c>
      <c r="AC54" s="448">
        <f t="shared" si="17"/>
        <v>0</v>
      </c>
      <c r="AE54">
        <f>(AF54*6%)+AF54</f>
        <v>3.4026000000000001</v>
      </c>
      <c r="AF54" s="448">
        <f>'[13]FY 21'!AF54</f>
        <v>3.21</v>
      </c>
      <c r="AG54" s="448">
        <f>'[13]FY 20'!H56</f>
        <v>2.7414330218068539</v>
      </c>
      <c r="AH54">
        <f>(AG54*6%)+AG54</f>
        <v>2.9059190031152653</v>
      </c>
      <c r="AI54" s="448">
        <f>AG54-AH54</f>
        <v>-0.16448598130841141</v>
      </c>
    </row>
    <row r="55" spans="1:43" ht="15.75" x14ac:dyDescent="0.2">
      <c r="A55" s="979" t="s">
        <v>1019</v>
      </c>
      <c r="B55" s="980"/>
      <c r="C55" s="981">
        <f>C53+C54</f>
        <v>19.462</v>
      </c>
      <c r="D55" s="981">
        <f>D53+D54</f>
        <v>0</v>
      </c>
      <c r="E55" s="980"/>
      <c r="F55" s="981">
        <f>F53+F54</f>
        <v>10.799999999999999</v>
      </c>
      <c r="G55" s="981">
        <f>G53+G54</f>
        <v>10.799999999999999</v>
      </c>
      <c r="H55" s="983">
        <v>3.77</v>
      </c>
      <c r="I55" s="983">
        <f>I53+I54</f>
        <v>14.423342509600003</v>
      </c>
      <c r="J55" s="445"/>
      <c r="K55" s="445"/>
      <c r="L55" s="983">
        <f>L53+L54</f>
        <v>5.2546080000000002</v>
      </c>
      <c r="M55" s="983">
        <f>M53+M54</f>
        <v>5.2546080000000002</v>
      </c>
      <c r="N55" s="490">
        <f t="shared" si="49"/>
        <v>3.6431277954486601</v>
      </c>
      <c r="O55" s="984">
        <f t="shared" ref="O55:T55" si="60">O53+O54</f>
        <v>19.2732186</v>
      </c>
      <c r="P55" s="983">
        <f t="shared" si="60"/>
        <v>4.8498760903999978</v>
      </c>
      <c r="Q55" s="983">
        <f t="shared" si="60"/>
        <v>0</v>
      </c>
      <c r="R55" s="983">
        <f t="shared" si="60"/>
        <v>0</v>
      </c>
      <c r="S55" s="983">
        <f t="shared" si="60"/>
        <v>0</v>
      </c>
      <c r="T55" s="983">
        <f t="shared" si="60"/>
        <v>3.1155778271587278</v>
      </c>
      <c r="U55" s="446">
        <f t="shared" si="53"/>
        <v>6.4240359322288745</v>
      </c>
      <c r="V55" s="490">
        <f t="shared" si="14"/>
        <v>19.2732186</v>
      </c>
      <c r="W55" s="985">
        <f t="shared" si="14"/>
        <v>0</v>
      </c>
      <c r="X55" s="985"/>
      <c r="Y55" s="985">
        <f>Y53+Y54</f>
        <v>8.3701858271587284</v>
      </c>
      <c r="Z55" s="985">
        <f t="shared" si="15"/>
        <v>8.3701858271587284</v>
      </c>
      <c r="AA55" s="985">
        <f t="shared" si="16"/>
        <v>4.3429102325227236</v>
      </c>
      <c r="AC55" s="448">
        <f t="shared" si="17"/>
        <v>0</v>
      </c>
    </row>
    <row r="56" spans="1:43" ht="31.5" x14ac:dyDescent="0.2">
      <c r="A56" s="974" t="s">
        <v>1020</v>
      </c>
      <c r="B56" s="986"/>
      <c r="C56" s="986"/>
      <c r="D56" s="976"/>
      <c r="E56" s="986"/>
      <c r="F56" s="976"/>
      <c r="G56" s="987"/>
      <c r="H56" s="999"/>
      <c r="I56" s="445"/>
      <c r="J56" s="445"/>
      <c r="K56" s="445"/>
      <c r="L56" s="445"/>
      <c r="M56" s="445"/>
      <c r="N56" s="445"/>
      <c r="O56" s="978"/>
      <c r="P56" s="446"/>
      <c r="Q56" s="446"/>
      <c r="R56" s="446"/>
      <c r="S56" s="446"/>
      <c r="T56" s="446"/>
      <c r="U56" s="446"/>
      <c r="V56" s="446"/>
      <c r="W56" s="447"/>
      <c r="X56" s="447"/>
      <c r="Y56" s="447"/>
      <c r="Z56" s="447"/>
      <c r="AA56" s="447"/>
      <c r="AC56" s="448">
        <f t="shared" si="17"/>
        <v>0</v>
      </c>
    </row>
    <row r="57" spans="1:43" ht="15.75" x14ac:dyDescent="0.2">
      <c r="A57" s="974" t="s">
        <v>1048</v>
      </c>
      <c r="B57" s="986"/>
      <c r="C57" s="986">
        <v>575</v>
      </c>
      <c r="D57" s="976"/>
      <c r="E57" s="986">
        <f>4.69+0.25</f>
        <v>4.9400000000000004</v>
      </c>
      <c r="F57" s="976">
        <f t="shared" ref="F57:F63" si="61">C57*E57/10</f>
        <v>284.05</v>
      </c>
      <c r="G57" s="977">
        <f>F57</f>
        <v>284.05</v>
      </c>
      <c r="H57" s="998">
        <f t="shared" ref="H57:H73" si="62">G57/C57*10</f>
        <v>4.9399999999999995</v>
      </c>
      <c r="I57" s="445"/>
      <c r="J57" s="445"/>
      <c r="K57" s="445"/>
      <c r="L57" s="445"/>
      <c r="M57" s="445"/>
      <c r="N57" s="445"/>
      <c r="O57" s="978"/>
      <c r="P57" s="446"/>
      <c r="Q57" s="446"/>
      <c r="R57" s="446"/>
      <c r="S57" s="446"/>
      <c r="T57" s="446"/>
      <c r="U57" s="446"/>
      <c r="V57" s="446"/>
      <c r="W57" s="447"/>
      <c r="X57" s="447"/>
      <c r="Y57" s="447"/>
      <c r="Z57" s="447"/>
      <c r="AA57" s="447"/>
      <c r="AC57" s="448"/>
    </row>
    <row r="58" spans="1:43" ht="15.75" x14ac:dyDescent="0.2">
      <c r="A58" s="974" t="s">
        <v>1021</v>
      </c>
      <c r="B58" s="986"/>
      <c r="C58" s="976">
        <v>2920</v>
      </c>
      <c r="D58" s="976">
        <v>0</v>
      </c>
      <c r="E58" s="976">
        <v>3.56</v>
      </c>
      <c r="F58" s="976">
        <f t="shared" si="61"/>
        <v>1039.52</v>
      </c>
      <c r="G58" s="977">
        <f>F58</f>
        <v>1039.52</v>
      </c>
      <c r="H58" s="998">
        <f t="shared" si="62"/>
        <v>3.5599999999999996</v>
      </c>
      <c r="I58" s="446">
        <f>'[12]Actuals apprd'!$F$76</f>
        <v>2072.9956006500001</v>
      </c>
      <c r="J58" s="445"/>
      <c r="K58" s="445"/>
      <c r="L58" s="446">
        <f>'[12]Actuals apprd'!$N$76</f>
        <v>738.50127506249999</v>
      </c>
      <c r="M58" s="446">
        <f t="shared" ref="M58:M72" si="63">J58+L58</f>
        <v>738.50127506249999</v>
      </c>
      <c r="N58" s="490">
        <f>M58/I58*10</f>
        <v>3.5624835616194197</v>
      </c>
      <c r="O58" s="978">
        <v>2501</v>
      </c>
      <c r="P58" s="446">
        <f>O58-I58</f>
        <v>428.00439934999986</v>
      </c>
      <c r="Q58" s="446"/>
      <c r="R58" s="446"/>
      <c r="S58" s="446"/>
      <c r="T58" s="446">
        <f>P58*N58/10</f>
        <v>152.47586369851678</v>
      </c>
      <c r="U58" s="446">
        <f t="shared" si="53"/>
        <v>3.5624835616194197</v>
      </c>
      <c r="V58" s="446">
        <f t="shared" si="14"/>
        <v>2501</v>
      </c>
      <c r="W58" s="447">
        <f t="shared" si="14"/>
        <v>0</v>
      </c>
      <c r="X58" s="447"/>
      <c r="Y58" s="447">
        <f>M58+T58</f>
        <v>890.9771387610167</v>
      </c>
      <c r="Z58" s="447">
        <f t="shared" si="15"/>
        <v>890.9771387610167</v>
      </c>
      <c r="AA58" s="447">
        <f t="shared" si="16"/>
        <v>3.5624835616194188</v>
      </c>
      <c r="AC58" s="448">
        <f t="shared" si="17"/>
        <v>0</v>
      </c>
    </row>
    <row r="59" spans="1:43" ht="15.75" x14ac:dyDescent="0.2">
      <c r="A59" s="974" t="s">
        <v>1022</v>
      </c>
      <c r="B59" s="986"/>
      <c r="C59" s="976">
        <v>6.92</v>
      </c>
      <c r="D59" s="976">
        <v>0</v>
      </c>
      <c r="E59" s="976">
        <v>3.49</v>
      </c>
      <c r="F59" s="976">
        <f t="shared" si="61"/>
        <v>2.4150800000000001</v>
      </c>
      <c r="G59" s="977">
        <f t="shared" ref="G59:G73" si="64">F59</f>
        <v>2.4150800000000001</v>
      </c>
      <c r="H59" s="998">
        <f t="shared" si="62"/>
        <v>3.49</v>
      </c>
      <c r="I59" s="446">
        <f>'[12]Actuals apprd'!$F$77</f>
        <v>3.1320299999999999</v>
      </c>
      <c r="J59" s="445"/>
      <c r="K59" s="445"/>
      <c r="L59" s="446">
        <f>'[12]Actuals apprd'!$N$77</f>
        <v>1.2055971999999999</v>
      </c>
      <c r="M59" s="446">
        <f t="shared" si="63"/>
        <v>1.2055971999999999</v>
      </c>
      <c r="N59" s="490">
        <f>M59/I59*10</f>
        <v>3.84925176323343</v>
      </c>
      <c r="O59" s="978">
        <f>C59-(C59*0.97%)</f>
        <v>6.8528760000000002</v>
      </c>
      <c r="P59" s="446">
        <f>O59-I59</f>
        <v>3.7208460000000003</v>
      </c>
      <c r="Q59" s="446"/>
      <c r="R59" s="446"/>
      <c r="S59" s="446"/>
      <c r="T59" s="446">
        <f>P59*N59/10</f>
        <v>1.4322473026220055</v>
      </c>
      <c r="U59" s="446">
        <f t="shared" si="53"/>
        <v>3.8492517632334295</v>
      </c>
      <c r="V59" s="446">
        <f t="shared" si="14"/>
        <v>6.8528760000000002</v>
      </c>
      <c r="W59" s="447">
        <f t="shared" si="14"/>
        <v>0</v>
      </c>
      <c r="X59" s="447"/>
      <c r="Y59" s="447">
        <f t="shared" ref="Y59:Y72" si="65">M59+T59</f>
        <v>2.6378445026220056</v>
      </c>
      <c r="Z59" s="447">
        <f t="shared" si="15"/>
        <v>2.6378445026220056</v>
      </c>
      <c r="AA59" s="447">
        <f t="shared" si="16"/>
        <v>3.84925176323343</v>
      </c>
      <c r="AC59" s="448">
        <f t="shared" si="17"/>
        <v>0</v>
      </c>
    </row>
    <row r="60" spans="1:43" ht="15.75" x14ac:dyDescent="0.2">
      <c r="A60" s="974" t="s">
        <v>1023</v>
      </c>
      <c r="B60" s="986"/>
      <c r="C60" s="976">
        <v>342.53</v>
      </c>
      <c r="D60" s="976">
        <v>0</v>
      </c>
      <c r="E60" s="976">
        <v>3.17</v>
      </c>
      <c r="F60" s="976">
        <f t="shared" si="61"/>
        <v>108.58201</v>
      </c>
      <c r="G60" s="977">
        <f t="shared" si="64"/>
        <v>108.58201</v>
      </c>
      <c r="H60" s="998">
        <f t="shared" si="62"/>
        <v>3.17</v>
      </c>
      <c r="I60" s="446">
        <f>'[12]Actuals apprd'!$F$75</f>
        <v>297.87815135</v>
      </c>
      <c r="J60" s="445"/>
      <c r="K60" s="445"/>
      <c r="L60" s="446">
        <f>'[12]Actuals apprd'!$N$75</f>
        <v>94.461759799999996</v>
      </c>
      <c r="M60" s="446">
        <f t="shared" si="63"/>
        <v>94.461759799999996</v>
      </c>
      <c r="N60" s="490">
        <f>M60/I60*10</f>
        <v>3.1711543586494733</v>
      </c>
      <c r="O60" s="978">
        <v>342</v>
      </c>
      <c r="P60" s="446">
        <f>O60-I60</f>
        <v>44.121848650000004</v>
      </c>
      <c r="Q60" s="446"/>
      <c r="R60" s="446"/>
      <c r="S60" s="446"/>
      <c r="T60" s="446">
        <f>P60*N60/10</f>
        <v>13.991719265811989</v>
      </c>
      <c r="U60" s="446">
        <f t="shared" si="53"/>
        <v>3.1711543586494733</v>
      </c>
      <c r="V60" s="446">
        <f t="shared" si="14"/>
        <v>342</v>
      </c>
      <c r="W60" s="447">
        <f t="shared" si="14"/>
        <v>0</v>
      </c>
      <c r="X60" s="447"/>
      <c r="Y60" s="447">
        <f t="shared" si="65"/>
        <v>108.45347906581199</v>
      </c>
      <c r="Z60" s="447">
        <f t="shared" si="15"/>
        <v>108.45347906581199</v>
      </c>
      <c r="AA60" s="447">
        <f t="shared" si="16"/>
        <v>3.1711543586494733</v>
      </c>
      <c r="AC60" s="448">
        <f t="shared" si="17"/>
        <v>0</v>
      </c>
    </row>
    <row r="61" spans="1:43" ht="15.75" x14ac:dyDescent="0.2">
      <c r="A61" s="974" t="s">
        <v>1024</v>
      </c>
      <c r="B61" s="986"/>
      <c r="C61" s="986"/>
      <c r="D61" s="976">
        <v>0</v>
      </c>
      <c r="E61" s="976">
        <v>4.3600000000000003</v>
      </c>
      <c r="F61" s="976">
        <f t="shared" si="61"/>
        <v>0</v>
      </c>
      <c r="G61" s="977">
        <f t="shared" si="64"/>
        <v>0</v>
      </c>
      <c r="H61" s="998" t="e">
        <f t="shared" si="62"/>
        <v>#DIV/0!</v>
      </c>
      <c r="I61" s="446"/>
      <c r="J61" s="445"/>
      <c r="K61" s="445"/>
      <c r="L61" s="446"/>
      <c r="M61" s="446">
        <f t="shared" si="63"/>
        <v>0</v>
      </c>
      <c r="N61" s="490"/>
      <c r="O61" s="992"/>
      <c r="P61" s="446"/>
      <c r="Q61" s="446"/>
      <c r="R61" s="446"/>
      <c r="S61" s="446"/>
      <c r="T61" s="446"/>
      <c r="U61" s="446"/>
      <c r="V61" s="446">
        <f t="shared" si="14"/>
        <v>0</v>
      </c>
      <c r="W61" s="447">
        <f t="shared" si="14"/>
        <v>0</v>
      </c>
      <c r="X61" s="447"/>
      <c r="Y61" s="447">
        <f t="shared" si="65"/>
        <v>0</v>
      </c>
      <c r="Z61" s="447">
        <f t="shared" si="15"/>
        <v>0</v>
      </c>
      <c r="AA61" s="447"/>
      <c r="AC61" s="448">
        <f t="shared" si="17"/>
        <v>0</v>
      </c>
    </row>
    <row r="62" spans="1:43" ht="15.75" x14ac:dyDescent="0.2">
      <c r="A62" s="974" t="s">
        <v>1025</v>
      </c>
      <c r="B62" s="986"/>
      <c r="C62" s="986"/>
      <c r="D62" s="976">
        <v>0</v>
      </c>
      <c r="E62" s="976">
        <v>3.56</v>
      </c>
      <c r="F62" s="976">
        <f t="shared" si="61"/>
        <v>0</v>
      </c>
      <c r="G62" s="977">
        <f t="shared" si="64"/>
        <v>0</v>
      </c>
      <c r="H62" s="998" t="e">
        <f t="shared" si="62"/>
        <v>#DIV/0!</v>
      </c>
      <c r="I62" s="445"/>
      <c r="J62" s="445"/>
      <c r="K62" s="445"/>
      <c r="L62" s="445"/>
      <c r="M62" s="446">
        <f t="shared" si="63"/>
        <v>0</v>
      </c>
      <c r="N62" s="490"/>
      <c r="O62" s="992"/>
      <c r="P62" s="446"/>
      <c r="Q62" s="446"/>
      <c r="R62" s="446"/>
      <c r="S62" s="446"/>
      <c r="T62" s="446"/>
      <c r="U62" s="446"/>
      <c r="V62" s="446">
        <f t="shared" si="14"/>
        <v>0</v>
      </c>
      <c r="W62" s="447">
        <f t="shared" si="14"/>
        <v>0</v>
      </c>
      <c r="X62" s="447"/>
      <c r="Y62" s="447">
        <f t="shared" si="65"/>
        <v>0</v>
      </c>
      <c r="Z62" s="447">
        <f t="shared" si="15"/>
        <v>0</v>
      </c>
      <c r="AA62" s="447"/>
      <c r="AC62" s="448">
        <f t="shared" si="17"/>
        <v>0</v>
      </c>
    </row>
    <row r="63" spans="1:43" ht="15.75" x14ac:dyDescent="0.2">
      <c r="A63" s="974" t="s">
        <v>1026</v>
      </c>
      <c r="B63" s="986"/>
      <c r="C63" s="976">
        <v>63.87</v>
      </c>
      <c r="D63" s="976">
        <v>0</v>
      </c>
      <c r="E63" s="976">
        <v>5.51</v>
      </c>
      <c r="F63" s="976">
        <f t="shared" si="61"/>
        <v>35.192369999999997</v>
      </c>
      <c r="G63" s="977">
        <f t="shared" si="64"/>
        <v>35.192369999999997</v>
      </c>
      <c r="H63" s="998">
        <f t="shared" si="62"/>
        <v>5.51</v>
      </c>
      <c r="I63" s="446">
        <f>'[12]Actuals apprd'!$F$74</f>
        <v>32.54175</v>
      </c>
      <c r="J63" s="445"/>
      <c r="K63" s="445"/>
      <c r="L63" s="446">
        <f>'[12]Actuals apprd'!$M$74</f>
        <v>17.933350300000001</v>
      </c>
      <c r="M63" s="446">
        <f t="shared" si="63"/>
        <v>17.933350300000001</v>
      </c>
      <c r="N63" s="490">
        <f>M63/I63*10</f>
        <v>5.5108745841880049</v>
      </c>
      <c r="O63" s="978">
        <f>C63-(C63*0.97%)</f>
        <v>63.250460999999994</v>
      </c>
      <c r="P63" s="446">
        <f>O63-I63</f>
        <v>30.708710999999994</v>
      </c>
      <c r="Q63" s="446"/>
      <c r="R63" s="446"/>
      <c r="S63" s="446"/>
      <c r="T63" s="446">
        <f>P63*N63/10</f>
        <v>16.923185496307457</v>
      </c>
      <c r="U63" s="446">
        <f t="shared" si="53"/>
        <v>5.5108745841880049</v>
      </c>
      <c r="V63" s="446">
        <f t="shared" si="14"/>
        <v>63.250460999999994</v>
      </c>
      <c r="W63" s="447">
        <f t="shared" si="14"/>
        <v>0</v>
      </c>
      <c r="X63" s="447"/>
      <c r="Y63" s="447">
        <f t="shared" si="65"/>
        <v>34.856535796307455</v>
      </c>
      <c r="Z63" s="447">
        <f t="shared" si="15"/>
        <v>34.856535796307455</v>
      </c>
      <c r="AA63" s="447">
        <f t="shared" si="16"/>
        <v>5.5108745841880049</v>
      </c>
      <c r="AC63" s="448">
        <f t="shared" si="17"/>
        <v>0</v>
      </c>
    </row>
    <row r="64" spans="1:43" ht="15.75" x14ac:dyDescent="0.2">
      <c r="A64" s="979" t="s">
        <v>1082</v>
      </c>
      <c r="B64" s="986"/>
      <c r="C64" s="981">
        <f>SUM(C57:C63)</f>
        <v>3908.3199999999997</v>
      </c>
      <c r="D64" s="976"/>
      <c r="E64" s="976"/>
      <c r="F64" s="981">
        <f>SUM(F57:F63)</f>
        <v>1469.75946</v>
      </c>
      <c r="G64" s="981">
        <f>SUM(G57:G63)</f>
        <v>1469.75946</v>
      </c>
      <c r="H64" s="998"/>
      <c r="I64" s="446"/>
      <c r="J64" s="445"/>
      <c r="K64" s="445"/>
      <c r="L64" s="446"/>
      <c r="M64" s="446"/>
      <c r="N64" s="490"/>
      <c r="O64" s="978"/>
      <c r="P64" s="446"/>
      <c r="Q64" s="446"/>
      <c r="R64" s="446"/>
      <c r="S64" s="446"/>
      <c r="T64" s="446"/>
      <c r="U64" s="446"/>
      <c r="V64" s="446"/>
      <c r="W64" s="447"/>
      <c r="X64" s="447"/>
      <c r="Y64" s="447"/>
      <c r="Z64" s="447"/>
      <c r="AA64" s="447"/>
      <c r="AC64" s="448"/>
    </row>
    <row r="65" spans="1:32" ht="15.75" x14ac:dyDescent="0.2">
      <c r="A65" s="979" t="s">
        <v>1027</v>
      </c>
      <c r="B65" s="986"/>
      <c r="C65" s="976"/>
      <c r="D65" s="976"/>
      <c r="E65" s="976"/>
      <c r="F65" s="976"/>
      <c r="G65" s="977"/>
      <c r="H65" s="998"/>
      <c r="I65" s="446">
        <f>'[12]Actuals apprd'!$F$79</f>
        <v>1076.7636337500001</v>
      </c>
      <c r="J65" s="445"/>
      <c r="K65" s="445"/>
      <c r="L65" s="446">
        <f>'[12]Actuals apprd'!$M$79</f>
        <v>511.3982740970003</v>
      </c>
      <c r="M65" s="446">
        <f t="shared" si="63"/>
        <v>511.3982740970003</v>
      </c>
      <c r="N65" s="490">
        <f>M65/I65*10</f>
        <v>4.7494014291323596</v>
      </c>
      <c r="O65" s="978">
        <f>C65-(C65*0.97%)</f>
        <v>0</v>
      </c>
      <c r="P65" s="446">
        <v>850</v>
      </c>
      <c r="Q65" s="446"/>
      <c r="R65" s="446"/>
      <c r="S65" s="446"/>
      <c r="T65" s="446">
        <f>P65*N65/10</f>
        <v>403.69912147625053</v>
      </c>
      <c r="U65" s="446">
        <f t="shared" si="53"/>
        <v>4.7494014291323587</v>
      </c>
      <c r="V65" s="446">
        <f t="shared" si="14"/>
        <v>1926.7636337500001</v>
      </c>
      <c r="W65" s="447">
        <f t="shared" si="14"/>
        <v>0</v>
      </c>
      <c r="X65" s="447"/>
      <c r="Y65" s="447">
        <f t="shared" si="65"/>
        <v>915.09739557325088</v>
      </c>
      <c r="Z65" s="447">
        <f t="shared" si="15"/>
        <v>915.09739557325088</v>
      </c>
      <c r="AA65" s="447">
        <f t="shared" si="16"/>
        <v>4.7494014291323596</v>
      </c>
      <c r="AC65" s="448">
        <f t="shared" si="17"/>
        <v>1926.7636337500001</v>
      </c>
    </row>
    <row r="66" spans="1:32" ht="15.75" x14ac:dyDescent="0.2">
      <c r="A66" s="974" t="s">
        <v>1049</v>
      </c>
      <c r="B66" s="986"/>
      <c r="C66" s="976">
        <f>ROUND(AE66,2)</f>
        <v>399</v>
      </c>
      <c r="D66" s="976"/>
      <c r="E66" s="976">
        <v>6.52</v>
      </c>
      <c r="F66" s="976">
        <f t="shared" ref="F66:F73" si="66">C66*E66/10</f>
        <v>260.14800000000002</v>
      </c>
      <c r="G66" s="977">
        <f t="shared" si="64"/>
        <v>260.14800000000002</v>
      </c>
      <c r="H66" s="998">
        <f t="shared" si="62"/>
        <v>6.5200000000000005</v>
      </c>
      <c r="I66" s="446"/>
      <c r="J66" s="445"/>
      <c r="K66" s="445"/>
      <c r="L66" s="446"/>
      <c r="M66" s="446"/>
      <c r="N66" s="490"/>
      <c r="O66" s="978"/>
      <c r="P66" s="446"/>
      <c r="Q66" s="446"/>
      <c r="R66" s="446"/>
      <c r="S66" s="446"/>
      <c r="T66" s="446"/>
      <c r="U66" s="446"/>
      <c r="V66" s="446"/>
      <c r="W66" s="447"/>
      <c r="X66" s="447"/>
      <c r="Y66" s="447"/>
      <c r="Z66" s="447"/>
      <c r="AA66" s="447"/>
      <c r="AC66" s="448"/>
      <c r="AE66">
        <f>(AF66*0%)+AF66</f>
        <v>399</v>
      </c>
      <c r="AF66" s="448">
        <f>'[13]FY 21'!C66</f>
        <v>399</v>
      </c>
    </row>
    <row r="67" spans="1:32" ht="15.75" x14ac:dyDescent="0.2">
      <c r="A67" s="974" t="s">
        <v>1050</v>
      </c>
      <c r="B67" s="986"/>
      <c r="C67" s="976">
        <f>ROUND(AE67,2)</f>
        <v>224.4</v>
      </c>
      <c r="D67" s="976"/>
      <c r="E67" s="976">
        <v>6.82</v>
      </c>
      <c r="F67" s="976">
        <f t="shared" si="66"/>
        <v>153.04080000000002</v>
      </c>
      <c r="G67" s="977">
        <f t="shared" si="64"/>
        <v>153.04080000000002</v>
      </c>
      <c r="H67" s="998">
        <f t="shared" si="62"/>
        <v>6.82</v>
      </c>
      <c r="I67" s="446"/>
      <c r="J67" s="445"/>
      <c r="K67" s="445"/>
      <c r="L67" s="446"/>
      <c r="M67" s="446"/>
      <c r="N67" s="490"/>
      <c r="O67" s="978"/>
      <c r="P67" s="446"/>
      <c r="Q67" s="446"/>
      <c r="R67" s="446"/>
      <c r="S67" s="446"/>
      <c r="T67" s="446"/>
      <c r="U67" s="446"/>
      <c r="V67" s="446"/>
      <c r="W67" s="447"/>
      <c r="X67" s="447"/>
      <c r="Y67" s="447"/>
      <c r="Z67" s="447"/>
      <c r="AA67" s="447"/>
      <c r="AC67" s="448"/>
      <c r="AE67">
        <f>(AF67*0%)+AF67</f>
        <v>224.4</v>
      </c>
      <c r="AF67" s="448">
        <f>'[13]FY 21'!C67</f>
        <v>224.4</v>
      </c>
    </row>
    <row r="68" spans="1:32" ht="15.75" x14ac:dyDescent="0.2">
      <c r="A68" s="974" t="s">
        <v>1051</v>
      </c>
      <c r="B68" s="986"/>
      <c r="C68" s="976">
        <f>ROUND(AE68,2)</f>
        <v>814.8</v>
      </c>
      <c r="D68" s="976"/>
      <c r="E68" s="976">
        <v>4.8</v>
      </c>
      <c r="F68" s="976">
        <f t="shared" si="66"/>
        <v>391.10399999999993</v>
      </c>
      <c r="G68" s="977">
        <f t="shared" si="64"/>
        <v>391.10399999999993</v>
      </c>
      <c r="H68" s="998">
        <f t="shared" si="62"/>
        <v>4.7999999999999989</v>
      </c>
      <c r="I68" s="446"/>
      <c r="J68" s="445"/>
      <c r="K68" s="445"/>
      <c r="L68" s="446"/>
      <c r="M68" s="446"/>
      <c r="N68" s="490"/>
      <c r="O68" s="978"/>
      <c r="P68" s="446"/>
      <c r="Q68" s="446"/>
      <c r="R68" s="446"/>
      <c r="S68" s="446"/>
      <c r="T68" s="446"/>
      <c r="U68" s="446"/>
      <c r="V68" s="446"/>
      <c r="W68" s="447"/>
      <c r="X68" s="447"/>
      <c r="Y68" s="447"/>
      <c r="Z68" s="447"/>
      <c r="AA68" s="447"/>
      <c r="AC68" s="448"/>
      <c r="AE68">
        <f>(AF68*0%)+AF68</f>
        <v>814.8</v>
      </c>
      <c r="AF68" s="448">
        <f>'[13]FY 21'!C68</f>
        <v>814.8</v>
      </c>
    </row>
    <row r="69" spans="1:32" ht="31.5" x14ac:dyDescent="0.2">
      <c r="A69" s="974" t="s">
        <v>1052</v>
      </c>
      <c r="B69" s="975">
        <v>46.39</v>
      </c>
      <c r="C69" s="976">
        <f>ROUND(AE69,2)</f>
        <v>771.75</v>
      </c>
      <c r="D69" s="976">
        <v>0</v>
      </c>
      <c r="E69" s="976">
        <v>4.8</v>
      </c>
      <c r="F69" s="976">
        <f t="shared" si="66"/>
        <v>370.43999999999994</v>
      </c>
      <c r="G69" s="977">
        <f t="shared" si="64"/>
        <v>370.43999999999994</v>
      </c>
      <c r="H69" s="998">
        <f t="shared" si="62"/>
        <v>4.7999999999999989</v>
      </c>
      <c r="I69" s="445"/>
      <c r="J69" s="445"/>
      <c r="K69" s="445"/>
      <c r="L69" s="445"/>
      <c r="M69" s="446"/>
      <c r="N69" s="490"/>
      <c r="O69" s="992"/>
      <c r="P69" s="446"/>
      <c r="Q69" s="446"/>
      <c r="R69" s="446"/>
      <c r="S69" s="446"/>
      <c r="T69" s="446"/>
      <c r="U69" s="446"/>
      <c r="V69" s="446">
        <f t="shared" si="14"/>
        <v>0</v>
      </c>
      <c r="W69" s="447">
        <f t="shared" si="14"/>
        <v>0</v>
      </c>
      <c r="X69" s="447"/>
      <c r="Y69" s="447">
        <f>L69+S69</f>
        <v>0</v>
      </c>
      <c r="Z69" s="447">
        <f t="shared" si="15"/>
        <v>0</v>
      </c>
      <c r="AA69" s="447"/>
      <c r="AC69" s="448">
        <f t="shared" si="17"/>
        <v>0</v>
      </c>
      <c r="AE69">
        <f>(AF69*5%)+AF69</f>
        <v>771.75</v>
      </c>
      <c r="AF69" s="448">
        <f>'[13]FY 21'!C69</f>
        <v>735</v>
      </c>
    </row>
    <row r="70" spans="1:32" ht="15.75" x14ac:dyDescent="0.2">
      <c r="A70" s="974" t="s">
        <v>1053</v>
      </c>
      <c r="B70" s="975"/>
      <c r="C70" s="976">
        <v>88</v>
      </c>
      <c r="D70" s="976">
        <v>0</v>
      </c>
      <c r="E70" s="976">
        <v>8.35</v>
      </c>
      <c r="F70" s="976">
        <f t="shared" si="66"/>
        <v>73.47999999999999</v>
      </c>
      <c r="G70" s="977">
        <f t="shared" si="64"/>
        <v>73.47999999999999</v>
      </c>
      <c r="H70" s="998">
        <f t="shared" si="62"/>
        <v>8.3499999999999979</v>
      </c>
      <c r="I70" s="445"/>
      <c r="J70" s="445"/>
      <c r="K70" s="445"/>
      <c r="L70" s="445"/>
      <c r="M70" s="446"/>
      <c r="N70" s="490"/>
      <c r="O70" s="992"/>
      <c r="P70" s="446"/>
      <c r="Q70" s="446"/>
      <c r="R70" s="446"/>
      <c r="S70" s="446"/>
      <c r="T70" s="446"/>
      <c r="U70" s="446"/>
      <c r="V70" s="446"/>
      <c r="W70" s="447"/>
      <c r="X70" s="447"/>
      <c r="Y70" s="447"/>
      <c r="Z70" s="447"/>
      <c r="AA70" s="447"/>
      <c r="AC70" s="448"/>
      <c r="AF70" s="448">
        <f>'[13]FY 21'!C70</f>
        <v>88</v>
      </c>
    </row>
    <row r="71" spans="1:32" ht="15.75" x14ac:dyDescent="0.2">
      <c r="A71" s="974" t="s">
        <v>1054</v>
      </c>
      <c r="B71" s="975"/>
      <c r="C71" s="976">
        <f>563-88</f>
        <v>475</v>
      </c>
      <c r="D71" s="976">
        <v>0</v>
      </c>
      <c r="E71" s="976">
        <v>4.66</v>
      </c>
      <c r="F71" s="976">
        <f t="shared" si="66"/>
        <v>221.35</v>
      </c>
      <c r="G71" s="977">
        <f t="shared" si="64"/>
        <v>221.35</v>
      </c>
      <c r="H71" s="998">
        <f t="shared" si="62"/>
        <v>4.66</v>
      </c>
      <c r="I71" s="445"/>
      <c r="J71" s="445"/>
      <c r="K71" s="445"/>
      <c r="L71" s="445"/>
      <c r="M71" s="446"/>
      <c r="N71" s="490"/>
      <c r="O71" s="992"/>
      <c r="P71" s="446"/>
      <c r="Q71" s="446"/>
      <c r="R71" s="446"/>
      <c r="S71" s="446"/>
      <c r="T71" s="446"/>
      <c r="U71" s="446"/>
      <c r="V71" s="446"/>
      <c r="W71" s="447"/>
      <c r="X71" s="447"/>
      <c r="Y71" s="447"/>
      <c r="Z71" s="447"/>
      <c r="AA71" s="447"/>
      <c r="AC71" s="448"/>
      <c r="AF71" s="448">
        <f>'[13]FY 21'!C71</f>
        <v>475</v>
      </c>
    </row>
    <row r="72" spans="1:32" ht="15.75" x14ac:dyDescent="0.2">
      <c r="A72" s="974" t="s">
        <v>1055</v>
      </c>
      <c r="B72" s="986"/>
      <c r="C72" s="976">
        <v>3</v>
      </c>
      <c r="D72" s="976">
        <v>0</v>
      </c>
      <c r="E72" s="976">
        <v>6</v>
      </c>
      <c r="F72" s="976">
        <f t="shared" si="66"/>
        <v>1.8</v>
      </c>
      <c r="G72" s="977">
        <f t="shared" si="64"/>
        <v>1.8</v>
      </c>
      <c r="H72" s="998">
        <f t="shared" si="62"/>
        <v>6</v>
      </c>
      <c r="I72" s="446">
        <f>'[12]Actuals apprd'!$F$78</f>
        <v>1.4610399999999999</v>
      </c>
      <c r="J72" s="445"/>
      <c r="K72" s="445"/>
      <c r="L72" s="446">
        <f>'[12]Actuals apprd'!$N$78</f>
        <v>0.87662399999999996</v>
      </c>
      <c r="M72" s="446">
        <f t="shared" si="63"/>
        <v>0.87662399999999996</v>
      </c>
      <c r="N72" s="490">
        <f>M72/I72*10</f>
        <v>6</v>
      </c>
      <c r="O72" s="978">
        <f>C72-(C72*0.97%)</f>
        <v>2.9708999999999999</v>
      </c>
      <c r="P72" s="446">
        <f>O72-I72</f>
        <v>1.50986</v>
      </c>
      <c r="Q72" s="446"/>
      <c r="R72" s="446"/>
      <c r="S72" s="446"/>
      <c r="T72" s="446">
        <f>P72*N72/10</f>
        <v>0.90591600000000005</v>
      </c>
      <c r="U72" s="446">
        <f t="shared" si="53"/>
        <v>6.0000000000000009</v>
      </c>
      <c r="V72" s="446">
        <f t="shared" si="14"/>
        <v>2.9708999999999999</v>
      </c>
      <c r="W72" s="447">
        <f t="shared" si="14"/>
        <v>0</v>
      </c>
      <c r="X72" s="447"/>
      <c r="Y72" s="447">
        <f t="shared" si="65"/>
        <v>1.78254</v>
      </c>
      <c r="Z72" s="447">
        <f t="shared" si="15"/>
        <v>1.78254</v>
      </c>
      <c r="AA72" s="447">
        <f t="shared" si="16"/>
        <v>6</v>
      </c>
      <c r="AC72" s="448">
        <f t="shared" si="17"/>
        <v>0</v>
      </c>
      <c r="AF72" s="448">
        <f>'[13]FY 21'!C72</f>
        <v>3</v>
      </c>
    </row>
    <row r="73" spans="1:32" ht="15.75" x14ac:dyDescent="0.2">
      <c r="A73" s="974" t="s">
        <v>1083</v>
      </c>
      <c r="B73" s="975">
        <v>46.643000000000001</v>
      </c>
      <c r="C73" s="976">
        <v>1366.56</v>
      </c>
      <c r="D73" s="976">
        <v>0</v>
      </c>
      <c r="E73" s="976">
        <v>2.85</v>
      </c>
      <c r="F73" s="976">
        <f t="shared" si="66"/>
        <v>389.46960000000001</v>
      </c>
      <c r="G73" s="977">
        <f t="shared" si="64"/>
        <v>389.46960000000001</v>
      </c>
      <c r="H73" s="998">
        <f t="shared" si="62"/>
        <v>2.8500000000000005</v>
      </c>
      <c r="I73" s="446"/>
      <c r="J73" s="445"/>
      <c r="K73" s="445"/>
      <c r="L73" s="446"/>
      <c r="M73" s="446"/>
      <c r="N73" s="490"/>
      <c r="O73" s="978"/>
      <c r="P73" s="446"/>
      <c r="Q73" s="446"/>
      <c r="R73" s="446"/>
      <c r="S73" s="446"/>
      <c r="T73" s="446"/>
      <c r="U73" s="446"/>
      <c r="V73" s="446"/>
      <c r="W73" s="447"/>
      <c r="X73" s="447"/>
      <c r="Y73" s="447"/>
      <c r="Z73" s="447"/>
      <c r="AA73" s="447"/>
      <c r="AC73" s="448"/>
      <c r="AF73" s="448">
        <f>'[13]FY 21'!C73</f>
        <v>996.54</v>
      </c>
    </row>
    <row r="74" spans="1:32" ht="15.75" x14ac:dyDescent="0.2">
      <c r="A74" s="974"/>
      <c r="B74" s="986"/>
      <c r="C74" s="981">
        <f>SUM(C66:C73)</f>
        <v>4142.51</v>
      </c>
      <c r="D74" s="976"/>
      <c r="E74" s="976"/>
      <c r="F74" s="981">
        <f>SUM(F66:F73)</f>
        <v>1860.8323999999998</v>
      </c>
      <c r="G74" s="981">
        <f>SUM(G66:G73)</f>
        <v>1860.8323999999998</v>
      </c>
      <c r="H74" s="998"/>
      <c r="I74" s="446"/>
      <c r="J74" s="445"/>
      <c r="K74" s="445"/>
      <c r="L74" s="446"/>
      <c r="M74" s="446"/>
      <c r="N74" s="490"/>
      <c r="O74" s="978"/>
      <c r="P74" s="446"/>
      <c r="Q74" s="446"/>
      <c r="R74" s="446"/>
      <c r="S74" s="446"/>
      <c r="T74" s="446"/>
      <c r="U74" s="446"/>
      <c r="V74" s="446"/>
      <c r="W74" s="447"/>
      <c r="X74" s="447"/>
      <c r="Y74" s="447"/>
      <c r="Z74" s="447"/>
      <c r="AA74" s="447"/>
      <c r="AC74" s="448"/>
    </row>
    <row r="75" spans="1:32" ht="15.75" x14ac:dyDescent="0.2">
      <c r="A75" s="979" t="s">
        <v>1030</v>
      </c>
      <c r="B75" s="980"/>
      <c r="C75" s="981">
        <f>C64+C74</f>
        <v>8050.83</v>
      </c>
      <c r="D75" s="981">
        <v>0</v>
      </c>
      <c r="E75" s="980"/>
      <c r="F75" s="981"/>
      <c r="G75" s="982">
        <f>G64+G74</f>
        <v>3330.5918599999995</v>
      </c>
      <c r="H75" s="983">
        <v>4.33</v>
      </c>
      <c r="I75" s="983">
        <f>SUM(I58:I72)</f>
        <v>3484.7722057500005</v>
      </c>
      <c r="J75" s="445"/>
      <c r="K75" s="445"/>
      <c r="L75" s="983">
        <f>SUM(L58:L72)</f>
        <v>1364.3768804595004</v>
      </c>
      <c r="M75" s="983">
        <f>SUM(M58:M72)</f>
        <v>1364.3768804595004</v>
      </c>
      <c r="N75" s="490">
        <f>M75/I75*10</f>
        <v>3.9152541397346692</v>
      </c>
      <c r="O75" s="984">
        <f t="shared" ref="O75:T75" si="67">SUM(O58:O72)</f>
        <v>2916.0742369999998</v>
      </c>
      <c r="P75" s="983">
        <f t="shared" si="67"/>
        <v>1358.0656649999999</v>
      </c>
      <c r="Q75" s="983">
        <f t="shared" si="67"/>
        <v>0</v>
      </c>
      <c r="R75" s="983">
        <f t="shared" si="67"/>
        <v>0</v>
      </c>
      <c r="S75" s="983">
        <f t="shared" si="67"/>
        <v>0</v>
      </c>
      <c r="T75" s="983">
        <f t="shared" si="67"/>
        <v>589.42805323950881</v>
      </c>
      <c r="U75" s="490">
        <f t="shared" si="53"/>
        <v>4.3402028961501573</v>
      </c>
      <c r="V75" s="490">
        <f t="shared" si="14"/>
        <v>4842.8378707500005</v>
      </c>
      <c r="W75" s="985">
        <f t="shared" si="14"/>
        <v>0</v>
      </c>
      <c r="X75" s="985"/>
      <c r="Y75" s="983">
        <f>SUM(Y58:Y72)</f>
        <v>1953.8049336990089</v>
      </c>
      <c r="Z75" s="985">
        <f t="shared" si="15"/>
        <v>1953.8049336990089</v>
      </c>
      <c r="AA75" s="985">
        <f t="shared" si="16"/>
        <v>4.0344215227598088</v>
      </c>
      <c r="AC75" s="448">
        <f t="shared" si="17"/>
        <v>1926.7636337500007</v>
      </c>
    </row>
    <row r="76" spans="1:32" ht="15.75" x14ac:dyDescent="0.2">
      <c r="A76" s="974" t="s">
        <v>1034</v>
      </c>
      <c r="B76" s="986"/>
      <c r="C76" s="986"/>
      <c r="D76" s="976"/>
      <c r="E76" s="986"/>
      <c r="F76" s="976"/>
      <c r="G76" s="987"/>
      <c r="H76" s="999"/>
      <c r="I76" s="445"/>
      <c r="J76" s="445"/>
      <c r="K76" s="445"/>
      <c r="L76" s="445"/>
      <c r="M76" s="445"/>
      <c r="N76" s="445"/>
      <c r="O76" s="978"/>
      <c r="P76" s="446"/>
      <c r="Q76" s="446"/>
      <c r="R76" s="446"/>
      <c r="S76" s="446"/>
      <c r="T76" s="446"/>
      <c r="U76" s="446"/>
      <c r="V76" s="446"/>
      <c r="W76" s="447"/>
      <c r="X76" s="447"/>
      <c r="Y76" s="447"/>
      <c r="Z76" s="447"/>
      <c r="AA76" s="447"/>
    </row>
    <row r="77" spans="1:32" ht="15.75" x14ac:dyDescent="0.2">
      <c r="A77" s="974" t="s">
        <v>1035</v>
      </c>
      <c r="B77" s="986"/>
      <c r="C77" s="986"/>
      <c r="D77" s="976"/>
      <c r="E77" s="986"/>
      <c r="F77" s="976">
        <v>0</v>
      </c>
      <c r="G77" s="977">
        <v>1325.7</v>
      </c>
      <c r="H77" s="999"/>
      <c r="I77" s="445"/>
      <c r="J77" s="445"/>
      <c r="K77" s="445"/>
      <c r="L77" s="445"/>
      <c r="M77" s="446">
        <f>'[12]Actuals apprd'!$N$59</f>
        <v>485.69514090000001</v>
      </c>
      <c r="N77" s="445"/>
      <c r="O77" s="978"/>
      <c r="P77" s="446"/>
      <c r="Q77" s="446"/>
      <c r="R77" s="446"/>
      <c r="S77" s="446"/>
      <c r="T77" s="446">
        <f>90*6</f>
        <v>540</v>
      </c>
      <c r="U77" s="446"/>
      <c r="V77" s="446">
        <f t="shared" si="14"/>
        <v>0</v>
      </c>
      <c r="W77" s="447">
        <f t="shared" si="14"/>
        <v>0</v>
      </c>
      <c r="X77" s="447"/>
      <c r="Y77" s="447"/>
      <c r="Z77" s="447">
        <f>M77+T77</f>
        <v>1025.6951409000001</v>
      </c>
      <c r="AA77" s="447"/>
    </row>
    <row r="78" spans="1:32" ht="15.75" x14ac:dyDescent="0.2">
      <c r="A78" s="974" t="s">
        <v>1036</v>
      </c>
      <c r="B78" s="986"/>
      <c r="C78" s="986"/>
      <c r="D78" s="976"/>
      <c r="E78" s="986"/>
      <c r="F78" s="976">
        <v>0</v>
      </c>
      <c r="G78" s="977">
        <f>1920+180</f>
        <v>2100</v>
      </c>
      <c r="H78" s="999"/>
      <c r="I78" s="445"/>
      <c r="J78" s="445"/>
      <c r="K78" s="445"/>
      <c r="L78" s="445"/>
      <c r="M78" s="446">
        <f>'[12]Actuals apprd'!$N$107</f>
        <v>764.3299968</v>
      </c>
      <c r="N78" s="445"/>
      <c r="O78" s="978"/>
      <c r="P78" s="446"/>
      <c r="Q78" s="446"/>
      <c r="R78" s="446"/>
      <c r="S78" s="446"/>
      <c r="T78" s="446">
        <f>G78-M78</f>
        <v>1335.6700031999999</v>
      </c>
      <c r="U78" s="446"/>
      <c r="V78" s="446">
        <f t="shared" ref="V78:W82" si="68">I78+P78</f>
        <v>0</v>
      </c>
      <c r="W78" s="447">
        <f t="shared" si="68"/>
        <v>0</v>
      </c>
      <c r="X78" s="447"/>
      <c r="Y78" s="447"/>
      <c r="Z78" s="447">
        <f>M78+T78</f>
        <v>2100</v>
      </c>
      <c r="AA78" s="447"/>
    </row>
    <row r="79" spans="1:32" ht="15.75" x14ac:dyDescent="0.2">
      <c r="A79" s="974" t="s">
        <v>1037</v>
      </c>
      <c r="B79" s="986"/>
      <c r="C79" s="986"/>
      <c r="D79" s="976"/>
      <c r="E79" s="986"/>
      <c r="F79" s="976">
        <v>0</v>
      </c>
      <c r="G79" s="977">
        <f>16.02+2.84-0.26</f>
        <v>18.599999999999998</v>
      </c>
      <c r="H79" s="999"/>
      <c r="I79" s="445"/>
      <c r="J79" s="445"/>
      <c r="K79" s="445"/>
      <c r="L79" s="445"/>
      <c r="M79" s="446">
        <f>'[12]Actuals apprd'!$N$108</f>
        <v>7.5149999999999997</v>
      </c>
      <c r="N79" s="445"/>
      <c r="O79" s="978"/>
      <c r="P79" s="446"/>
      <c r="Q79" s="446"/>
      <c r="R79" s="446"/>
      <c r="S79" s="446"/>
      <c r="T79" s="446">
        <f>G79-M79</f>
        <v>11.084999999999997</v>
      </c>
      <c r="U79" s="446"/>
      <c r="V79" s="446">
        <f t="shared" si="68"/>
        <v>0</v>
      </c>
      <c r="W79" s="447">
        <f t="shared" si="68"/>
        <v>0</v>
      </c>
      <c r="X79" s="447"/>
      <c r="Y79" s="447"/>
      <c r="Z79" s="447">
        <f>M79+T79</f>
        <v>18.599999999999998</v>
      </c>
      <c r="AA79" s="447"/>
    </row>
    <row r="80" spans="1:32" ht="31.5" x14ac:dyDescent="0.2">
      <c r="A80" s="970" t="s">
        <v>1038</v>
      </c>
      <c r="B80" s="986"/>
      <c r="C80" s="986"/>
      <c r="D80" s="976"/>
      <c r="E80" s="986"/>
      <c r="F80" s="976">
        <v>0</v>
      </c>
      <c r="G80" s="977">
        <v>1.08</v>
      </c>
      <c r="H80" s="999"/>
      <c r="I80" s="445"/>
      <c r="J80" s="445"/>
      <c r="K80" s="445"/>
      <c r="L80" s="445"/>
      <c r="M80" s="446">
        <f>'[12]Actuals apprd'!$N$113+'[12]Actuals apprd'!$N$109</f>
        <v>1.6792</v>
      </c>
      <c r="N80" s="445"/>
      <c r="O80" s="978"/>
      <c r="P80" s="446"/>
      <c r="Q80" s="446"/>
      <c r="R80" s="446"/>
      <c r="S80" s="446"/>
      <c r="T80" s="446">
        <v>1.68</v>
      </c>
      <c r="U80" s="446"/>
      <c r="V80" s="446">
        <f t="shared" si="68"/>
        <v>0</v>
      </c>
      <c r="W80" s="447">
        <f t="shared" si="68"/>
        <v>0</v>
      </c>
      <c r="X80" s="447"/>
      <c r="Y80" s="447"/>
      <c r="Z80" s="447">
        <f>M80+T80</f>
        <v>3.3592</v>
      </c>
      <c r="AA80" s="447"/>
    </row>
    <row r="81" spans="1:29" ht="15.75" x14ac:dyDescent="0.2">
      <c r="A81" s="970" t="s">
        <v>1039</v>
      </c>
      <c r="B81" s="986"/>
      <c r="C81" s="986"/>
      <c r="D81" s="976"/>
      <c r="E81" s="986"/>
      <c r="F81" s="976"/>
      <c r="G81" s="977"/>
      <c r="H81" s="999"/>
      <c r="I81" s="446">
        <f>'[12]Actuals apprd'!$F$110</f>
        <v>795.01</v>
      </c>
      <c r="J81" s="445"/>
      <c r="K81" s="445"/>
      <c r="L81" s="445"/>
      <c r="M81" s="446">
        <f>'[12]Actuals apprd'!$N$110</f>
        <v>280.02999999999997</v>
      </c>
      <c r="N81" s="445"/>
      <c r="O81" s="978"/>
      <c r="P81" s="446">
        <f>-600-129.64-158.31</f>
        <v>-887.95</v>
      </c>
      <c r="Q81" s="446"/>
      <c r="R81" s="446"/>
      <c r="S81" s="446"/>
      <c r="T81" s="446">
        <f>P81*4.81/10</f>
        <v>-427.10395</v>
      </c>
      <c r="U81" s="446"/>
      <c r="V81" s="446">
        <f t="shared" si="68"/>
        <v>-92.940000000000055</v>
      </c>
      <c r="W81" s="447">
        <f t="shared" si="68"/>
        <v>0</v>
      </c>
      <c r="X81" s="447"/>
      <c r="Y81" s="447"/>
      <c r="Z81" s="447">
        <f>M81+T81</f>
        <v>-147.07395000000002</v>
      </c>
      <c r="AA81" s="447"/>
    </row>
    <row r="82" spans="1:29" ht="47.25" x14ac:dyDescent="0.25">
      <c r="A82" s="979" t="s">
        <v>1040</v>
      </c>
      <c r="B82" s="986"/>
      <c r="C82" s="981">
        <f>C13+C35+C37+C51+C55+C64+C74</f>
        <v>37009.652000000002</v>
      </c>
      <c r="D82" s="981">
        <f>D13+D35+D37+D51+D55+D75+D73+D76+D77+D78+D79+D80</f>
        <v>5738.3864640000002</v>
      </c>
      <c r="E82" s="981">
        <f>E13+E35+E37+E51+E55+E75+E73+E76+E77+E78+E79+E80</f>
        <v>12.771086045472529</v>
      </c>
      <c r="F82" s="981">
        <f>F13+F35+F37+F51+F55+F75+F73+F76+F77+F78+F79+F80</f>
        <v>10889.768422753999</v>
      </c>
      <c r="G82" s="982">
        <f>G13+G35+G37+G51+G55+G64+G74+G77+G78+G79+G80</f>
        <v>23014.657146753998</v>
      </c>
      <c r="H82" s="983">
        <f>G82/C82*10</f>
        <v>6.2185554046155298</v>
      </c>
      <c r="I82" s="983" t="e">
        <f>I13+I35+I37+I51+I55+I75+#REF!+#REF!+#REF!+I76+I77+I78+I79+I80+I81</f>
        <v>#REF!</v>
      </c>
      <c r="J82" s="983" t="e">
        <f>J13+J35+J37+J51+J55+J75+#REF!+#REF!+#REF!+J76+J77+J78+J79+J80</f>
        <v>#REF!</v>
      </c>
      <c r="K82" s="445"/>
      <c r="L82" s="983" t="e">
        <f>L13+L35+L37+L51+L55+L75+#REF!+#REF!+#REF!+L76+L77+L78+L79+L80</f>
        <v>#REF!</v>
      </c>
      <c r="M82" s="983" t="e">
        <f>M13+M35+M37+M51+M55+M75+#REF!+#REF!+#REF!+M76+M77+M78+M79+M80+M81</f>
        <v>#REF!</v>
      </c>
      <c r="N82" s="490" t="e">
        <f>M82/I82*10</f>
        <v>#REF!</v>
      </c>
      <c r="O82" s="984" t="e">
        <f>O13+O35+O37+O51+O55+O75+#REF!+#REF!+#REF!+O76+O77+O78+O79+O80</f>
        <v>#REF!</v>
      </c>
      <c r="P82" s="983" t="e">
        <f>P13+P35+P37+P51+P55+P75+#REF!+#REF!+#REF!+P76+P77+P78+P79+P80+P81</f>
        <v>#REF!</v>
      </c>
      <c r="Q82" s="983" t="e">
        <f>Q13+Q35+Q37+Q51+Q55+Q75+#REF!+#REF!+#REF!+Q76+Q77+Q78+Q79+Q80+Q81</f>
        <v>#REF!</v>
      </c>
      <c r="R82" s="983" t="e">
        <f>R13+R35+R37+R51+R55+R75+#REF!+#REF!+#REF!+R76+R77+R78+R79+R80+R81</f>
        <v>#REF!</v>
      </c>
      <c r="S82" s="983" t="e">
        <f>S13+S35+S37+S51+S55+S75+#REF!+#REF!+#REF!+S76+S77+S78+S79+S80+S81</f>
        <v>#REF!</v>
      </c>
      <c r="T82" s="983" t="e">
        <f>T13+T35+T37+T51+T55+T75+#REF!+#REF!+#REF!+T76+T77+T78+T79+T80+T81</f>
        <v>#REF!</v>
      </c>
      <c r="U82" s="983" t="e">
        <f>T82/P82*10</f>
        <v>#REF!</v>
      </c>
      <c r="V82" s="490" t="e">
        <f t="shared" si="68"/>
        <v>#REF!</v>
      </c>
      <c r="W82" s="985" t="e">
        <f t="shared" si="68"/>
        <v>#REF!</v>
      </c>
      <c r="X82" s="447"/>
      <c r="Y82" s="983" t="e">
        <f>Y13+Y35+Y37+Y51+Y55+Y75+#REF!+#REF!+#REF!+Y76+Y77+Y78+Y79+Y80+Y81</f>
        <v>#REF!</v>
      </c>
      <c r="Z82" s="983" t="e">
        <f>Z13+Z35+Z37+Z51+Z55+Z75+#REF!+#REF!+#REF!+Z76+Z77+Z78+Z79+Z80+Z81</f>
        <v>#REF!</v>
      </c>
      <c r="AA82" s="985" t="e">
        <f>Z82/V82*10</f>
        <v>#REF!</v>
      </c>
      <c r="AC82" s="1004" t="e">
        <f>AC13+AC35+AC37+AC51+AC55+AC75+#REF!+#REF!+#REF!+AC76+AC77+AC78+AC79+AC80+AC81</f>
        <v>#REF!</v>
      </c>
    </row>
    <row r="83" spans="1:29" ht="15" hidden="1" customHeight="1" x14ac:dyDescent="0.2">
      <c r="A83" t="s">
        <v>119</v>
      </c>
      <c r="B83" s="1008"/>
      <c r="C83" s="1008">
        <v>37009.65</v>
      </c>
      <c r="D83" s="1008"/>
      <c r="E83" s="1008"/>
      <c r="F83" s="1008"/>
      <c r="G83" s="1008"/>
      <c r="H83" s="1008"/>
      <c r="I83" s="1008"/>
      <c r="J83" s="1008"/>
      <c r="K83" s="1008"/>
      <c r="L83" s="1008"/>
      <c r="M83" s="1008"/>
      <c r="N83" s="1008"/>
      <c r="O83" s="1009"/>
      <c r="P83" s="1010" t="e">
        <f>P82+I82</f>
        <v>#REF!</v>
      </c>
      <c r="Q83" s="1008"/>
      <c r="R83" s="1008"/>
      <c r="S83" s="1008"/>
      <c r="T83" s="1010" t="e">
        <f>T82+M82</f>
        <v>#REF!</v>
      </c>
      <c r="U83" s="1011" t="e">
        <f>T83/P83*10</f>
        <v>#REF!</v>
      </c>
      <c r="V83" s="1011"/>
      <c r="Z83" s="448" t="e">
        <f>T83-Z82</f>
        <v>#REF!</v>
      </c>
    </row>
    <row r="84" spans="1:29" ht="12.75" hidden="1" customHeight="1" x14ac:dyDescent="0.2">
      <c r="C84" s="448">
        <f>C82-C83</f>
        <v>2.0000000004074536E-3</v>
      </c>
      <c r="I84" s="448">
        <f>'[12]Actuals apprd'!$F$118</f>
        <v>15170.821794060859</v>
      </c>
      <c r="M84" s="448">
        <f>'[12]Actuals apprd'!$N$118</f>
        <v>8468.5917606985859</v>
      </c>
    </row>
    <row r="85" spans="1:29" ht="12.75" hidden="1" customHeight="1" x14ac:dyDescent="0.2">
      <c r="G85" s="448">
        <f>G13+G35+G37+G51+G55+G75+G77+G78+G79+G80</f>
        <v>23014.657146753998</v>
      </c>
      <c r="P85">
        <v>32114.97</v>
      </c>
      <c r="T85" s="448" t="e">
        <f>T83-G82</f>
        <v>#REF!</v>
      </c>
    </row>
    <row r="86" spans="1:29" ht="12.75" hidden="1" customHeight="1" x14ac:dyDescent="0.2">
      <c r="G86" s="448">
        <f>G82-G85</f>
        <v>0</v>
      </c>
      <c r="I86" s="448" t="e">
        <f>I82-I84</f>
        <v>#REF!</v>
      </c>
      <c r="M86" s="448" t="e">
        <f>M82-M84</f>
        <v>#REF!</v>
      </c>
      <c r="P86" s="448" t="e">
        <f>P83-P85</f>
        <v>#REF!</v>
      </c>
    </row>
    <row r="87" spans="1:29" ht="12.75" hidden="1" customHeight="1" x14ac:dyDescent="0.2"/>
    <row r="88" spans="1:29" ht="12.75" hidden="1" customHeight="1" x14ac:dyDescent="0.2">
      <c r="G88">
        <f>22096+19.68</f>
        <v>22115.68</v>
      </c>
    </row>
    <row r="89" spans="1:29" ht="12.75" hidden="1" customHeight="1" x14ac:dyDescent="0.2"/>
    <row r="90" spans="1:29" ht="12.75" hidden="1" customHeight="1" x14ac:dyDescent="0.2"/>
    <row r="91" spans="1:29" ht="18.75" x14ac:dyDescent="0.3">
      <c r="A91" s="1012" t="s">
        <v>1062</v>
      </c>
    </row>
    <row r="92" spans="1:29" ht="15" x14ac:dyDescent="0.25">
      <c r="A92" s="366" t="s">
        <v>1063</v>
      </c>
    </row>
    <row r="93" spans="1:29" ht="12.75" customHeight="1" x14ac:dyDescent="0.2">
      <c r="A93" s="1823" t="s">
        <v>1091</v>
      </c>
      <c r="B93" s="1823"/>
      <c r="C93" s="1823"/>
      <c r="D93" s="1823"/>
      <c r="E93" s="1823"/>
      <c r="F93" s="1823"/>
      <c r="G93" s="1823"/>
      <c r="H93" s="1823"/>
    </row>
    <row r="94" spans="1:29" ht="15" x14ac:dyDescent="0.25">
      <c r="A94" s="366" t="s">
        <v>1065</v>
      </c>
    </row>
    <row r="95" spans="1:29" ht="12.75" customHeight="1" x14ac:dyDescent="0.2">
      <c r="A95" s="1823" t="s">
        <v>1092</v>
      </c>
      <c r="B95" s="1823"/>
      <c r="C95" s="1823"/>
      <c r="D95" s="1823"/>
      <c r="E95" s="1823"/>
      <c r="F95" s="1823"/>
      <c r="G95" s="1823"/>
      <c r="H95" s="1823"/>
    </row>
    <row r="96" spans="1:29" ht="15" x14ac:dyDescent="0.25">
      <c r="A96" s="366" t="s">
        <v>1067</v>
      </c>
    </row>
    <row r="97" spans="1:8" ht="12.75" customHeight="1" x14ac:dyDescent="0.2">
      <c r="A97" s="1823" t="s">
        <v>1093</v>
      </c>
      <c r="B97" s="1823"/>
      <c r="C97" s="1823"/>
      <c r="D97" s="1823"/>
      <c r="E97" s="1823"/>
      <c r="F97" s="1823"/>
      <c r="G97" s="1823"/>
      <c r="H97" s="1823"/>
    </row>
    <row r="98" spans="1:8" ht="15" x14ac:dyDescent="0.25">
      <c r="A98" s="1013" t="s">
        <v>1069</v>
      </c>
      <c r="B98" s="668"/>
      <c r="C98" s="668"/>
      <c r="D98" s="668"/>
      <c r="E98" s="668"/>
      <c r="F98" s="668"/>
      <c r="G98" s="668"/>
      <c r="H98" s="668"/>
    </row>
    <row r="99" spans="1:8" x14ac:dyDescent="0.2">
      <c r="A99" s="1821" t="s">
        <v>1094</v>
      </c>
      <c r="B99" s="1821"/>
      <c r="C99" s="1821"/>
      <c r="D99" s="1821"/>
      <c r="E99" s="1821"/>
      <c r="F99" s="1821"/>
      <c r="G99" s="1821"/>
      <c r="H99" s="1821"/>
    </row>
    <row r="100" spans="1:8" ht="12.75" customHeight="1" x14ac:dyDescent="0.2">
      <c r="A100" s="1821" t="s">
        <v>1071</v>
      </c>
      <c r="B100" s="1821"/>
      <c r="C100" s="1821"/>
      <c r="D100" s="1821"/>
      <c r="E100" s="1821"/>
      <c r="F100" s="1821"/>
      <c r="G100" s="1821"/>
      <c r="H100" s="1821"/>
    </row>
    <row r="101" spans="1:8" ht="15" x14ac:dyDescent="0.25">
      <c r="A101" s="1013" t="s">
        <v>1072</v>
      </c>
      <c r="B101" s="668"/>
      <c r="C101" s="668"/>
      <c r="D101" s="668"/>
      <c r="E101" s="668"/>
      <c r="F101" s="668"/>
      <c r="G101" s="668"/>
      <c r="H101" s="668"/>
    </row>
    <row r="102" spans="1:8" ht="12.75" customHeight="1" x14ac:dyDescent="0.2">
      <c r="A102" s="1821" t="s">
        <v>1073</v>
      </c>
      <c r="B102" s="1821"/>
      <c r="C102" s="1821"/>
      <c r="D102" s="1821"/>
      <c r="E102" s="1821"/>
      <c r="F102" s="1821"/>
      <c r="G102" s="1821"/>
      <c r="H102" s="1821"/>
    </row>
    <row r="103" spans="1:8" ht="15" x14ac:dyDescent="0.2">
      <c r="A103" s="1015" t="s">
        <v>1074</v>
      </c>
      <c r="B103" s="1014"/>
      <c r="C103" s="1014"/>
      <c r="D103" s="1014"/>
      <c r="E103" s="1014"/>
      <c r="F103" s="1014"/>
      <c r="G103" s="1014"/>
      <c r="H103" s="1014"/>
    </row>
    <row r="104" spans="1:8" ht="12.75" customHeight="1" x14ac:dyDescent="0.2">
      <c r="A104" s="1821" t="s">
        <v>1095</v>
      </c>
      <c r="B104" s="1821"/>
      <c r="C104" s="1821"/>
      <c r="D104" s="1821"/>
      <c r="E104" s="1821"/>
      <c r="F104" s="1821"/>
      <c r="G104" s="1821"/>
      <c r="H104" s="1821"/>
    </row>
    <row r="105" spans="1:8" ht="12.75" customHeight="1" x14ac:dyDescent="0.2">
      <c r="A105" s="1821" t="s">
        <v>1096</v>
      </c>
      <c r="B105" s="1821"/>
      <c r="C105" s="1821"/>
      <c r="D105" s="1821"/>
      <c r="E105" s="1821"/>
      <c r="F105" s="1821"/>
      <c r="G105" s="1821"/>
      <c r="H105" s="1821"/>
    </row>
    <row r="106" spans="1:8" ht="15" x14ac:dyDescent="0.2">
      <c r="A106" s="1015" t="s">
        <v>1077</v>
      </c>
      <c r="B106" s="1014"/>
      <c r="C106" s="1014"/>
      <c r="D106" s="1014"/>
      <c r="E106" s="1014"/>
      <c r="F106" s="1014"/>
      <c r="G106" s="1014"/>
      <c r="H106" s="1014"/>
    </row>
    <row r="107" spans="1:8" ht="12.75" customHeight="1" x14ac:dyDescent="0.2">
      <c r="A107" s="1821" t="s">
        <v>1078</v>
      </c>
      <c r="B107" s="1821"/>
      <c r="C107" s="1821"/>
      <c r="D107" s="1821"/>
      <c r="E107" s="1821"/>
      <c r="F107" s="1821"/>
      <c r="G107" s="1821"/>
      <c r="H107" s="1821"/>
    </row>
    <row r="108" spans="1:8" ht="15" customHeight="1" x14ac:dyDescent="0.2">
      <c r="A108" s="1822" t="s">
        <v>1079</v>
      </c>
      <c r="B108" s="1822"/>
      <c r="C108" s="1822"/>
      <c r="D108" s="1822"/>
      <c r="E108" s="1822"/>
      <c r="F108" s="1822"/>
      <c r="G108" s="1822"/>
      <c r="H108" s="1822"/>
    </row>
  </sheetData>
  <mergeCells count="16">
    <mergeCell ref="A1:AA1"/>
    <mergeCell ref="A2:AA2"/>
    <mergeCell ref="B3:H3"/>
    <mergeCell ref="I3:N3"/>
    <mergeCell ref="P3:U3"/>
    <mergeCell ref="V3:AA3"/>
    <mergeCell ref="A104:H104"/>
    <mergeCell ref="A105:H105"/>
    <mergeCell ref="A107:H107"/>
    <mergeCell ref="A108:H108"/>
    <mergeCell ref="A93:H93"/>
    <mergeCell ref="A95:H95"/>
    <mergeCell ref="A97:H97"/>
    <mergeCell ref="A99:H99"/>
    <mergeCell ref="A100:H100"/>
    <mergeCell ref="A102:H102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6"/>
  <sheetViews>
    <sheetView topLeftCell="A58" zoomScale="110" zoomScaleNormal="110" workbookViewId="0">
      <selection activeCell="F1" sqref="F1:F65536"/>
    </sheetView>
  </sheetViews>
  <sheetFormatPr defaultRowHeight="12.75" x14ac:dyDescent="0.2"/>
  <cols>
    <col min="1" max="1" width="6.28515625" style="543" customWidth="1"/>
    <col min="2" max="2" width="12.42578125" style="543" customWidth="1"/>
    <col min="3" max="3" width="33" style="543" customWidth="1"/>
    <col min="4" max="4" width="11.140625" style="543" customWidth="1"/>
    <col min="5" max="5" width="9.140625" style="543" customWidth="1"/>
    <col min="6" max="6" width="13" style="543" customWidth="1"/>
    <col min="7" max="7" width="11.7109375" style="543" customWidth="1"/>
    <col min="8" max="8" width="12.140625" style="543" customWidth="1"/>
    <col min="9" max="9" width="10.28515625" style="543" customWidth="1"/>
    <col min="10" max="10" width="10.5703125" style="543" customWidth="1"/>
    <col min="11" max="11" width="10.28515625" style="543" customWidth="1"/>
    <col min="12" max="12" width="10.7109375" style="543" customWidth="1"/>
    <col min="13" max="13" width="15.85546875" style="543" customWidth="1"/>
    <col min="14" max="14" width="11.7109375" style="543" customWidth="1"/>
    <col min="15" max="15" width="12" style="543" customWidth="1"/>
    <col min="16" max="16" width="15.7109375" style="543" customWidth="1"/>
    <col min="17" max="17" width="11.85546875" style="543" customWidth="1"/>
    <col min="18" max="18" width="12.7109375" style="543" customWidth="1"/>
    <col min="19" max="19" width="10.7109375" style="543" customWidth="1"/>
    <col min="20" max="20" width="10.5703125" style="543" customWidth="1"/>
    <col min="21" max="21" width="12.28515625" style="543" bestFit="1" customWidth="1"/>
    <col min="22" max="22" width="11.5703125" style="543" customWidth="1"/>
    <col min="23" max="23" width="10.5703125" style="543" customWidth="1"/>
    <col min="24" max="24" width="11.5703125" style="543" customWidth="1"/>
    <col min="25" max="25" width="9.85546875" style="543" bestFit="1" customWidth="1"/>
    <col min="26" max="26" width="12.7109375" style="543" customWidth="1"/>
    <col min="27" max="27" width="11.7109375" style="543" customWidth="1"/>
    <col min="28" max="16384" width="9.140625" style="543"/>
  </cols>
  <sheetData>
    <row r="1" spans="1:27" ht="15" customHeight="1" x14ac:dyDescent="0.2">
      <c r="A1" s="541" t="s">
        <v>499</v>
      </c>
      <c r="B1" s="542"/>
      <c r="C1" s="542"/>
    </row>
    <row r="2" spans="1:27" x14ac:dyDescent="0.2">
      <c r="A2" s="541"/>
      <c r="B2" s="542"/>
      <c r="C2" s="542"/>
    </row>
    <row r="3" spans="1:27" x14ac:dyDescent="0.2">
      <c r="A3" s="541"/>
      <c r="B3" s="544" t="s">
        <v>460</v>
      </c>
      <c r="C3" s="544"/>
    </row>
    <row r="4" spans="1:27" x14ac:dyDescent="0.2">
      <c r="B4" s="545" t="s">
        <v>615</v>
      </c>
      <c r="C4" s="546"/>
    </row>
    <row r="5" spans="1:27" x14ac:dyDescent="0.2">
      <c r="A5" s="547"/>
      <c r="B5" s="548" t="s">
        <v>574</v>
      </c>
      <c r="C5" s="547"/>
    </row>
    <row r="6" spans="1:27" ht="13.5" thickBot="1" x14ac:dyDescent="0.25"/>
    <row r="7" spans="1:27" ht="29.25" customHeight="1" x14ac:dyDescent="0.2">
      <c r="A7" s="1825" t="s">
        <v>166</v>
      </c>
      <c r="B7" s="1825" t="s">
        <v>161</v>
      </c>
      <c r="C7" s="1827" t="s">
        <v>162</v>
      </c>
      <c r="D7" s="1829" t="s">
        <v>764</v>
      </c>
      <c r="E7" s="1830"/>
      <c r="F7" s="1830"/>
      <c r="G7" s="1831"/>
      <c r="H7" s="1829" t="s">
        <v>948</v>
      </c>
      <c r="I7" s="1830"/>
      <c r="J7" s="1830"/>
      <c r="K7" s="1831"/>
      <c r="L7" s="1829" t="s">
        <v>765</v>
      </c>
      <c r="M7" s="1830"/>
      <c r="N7" s="1830"/>
      <c r="O7" s="1831"/>
      <c r="P7" s="1829" t="s">
        <v>875</v>
      </c>
      <c r="Q7" s="1830"/>
      <c r="R7" s="1830"/>
      <c r="S7" s="1831"/>
      <c r="T7" s="1829" t="s">
        <v>876</v>
      </c>
      <c r="U7" s="1830"/>
      <c r="V7" s="1830"/>
      <c r="W7" s="1831"/>
      <c r="X7" s="1829" t="s">
        <v>877</v>
      </c>
      <c r="Y7" s="1830"/>
      <c r="Z7" s="1830"/>
      <c r="AA7" s="1831"/>
    </row>
    <row r="8" spans="1:27" ht="56.25" customHeight="1" thickBot="1" x14ac:dyDescent="0.25">
      <c r="A8" s="1826"/>
      <c r="B8" s="1826"/>
      <c r="C8" s="1828"/>
      <c r="D8" s="549" t="s">
        <v>616</v>
      </c>
      <c r="E8" s="550" t="s">
        <v>617</v>
      </c>
      <c r="F8" s="550" t="s">
        <v>618</v>
      </c>
      <c r="G8" s="551" t="s">
        <v>619</v>
      </c>
      <c r="H8" s="549" t="s">
        <v>616</v>
      </c>
      <c r="I8" s="550" t="s">
        <v>617</v>
      </c>
      <c r="J8" s="550" t="s">
        <v>618</v>
      </c>
      <c r="K8" s="551" t="s">
        <v>619</v>
      </c>
      <c r="L8" s="549" t="s">
        <v>616</v>
      </c>
      <c r="M8" s="550" t="s">
        <v>617</v>
      </c>
      <c r="N8" s="550" t="s">
        <v>618</v>
      </c>
      <c r="O8" s="551" t="s">
        <v>619</v>
      </c>
      <c r="P8" s="549" t="s">
        <v>616</v>
      </c>
      <c r="Q8" s="550" t="s">
        <v>617</v>
      </c>
      <c r="R8" s="550" t="s">
        <v>618</v>
      </c>
      <c r="S8" s="551" t="s">
        <v>619</v>
      </c>
      <c r="T8" s="549" t="s">
        <v>616</v>
      </c>
      <c r="U8" s="550" t="s">
        <v>617</v>
      </c>
      <c r="V8" s="550" t="s">
        <v>618</v>
      </c>
      <c r="W8" s="551" t="s">
        <v>619</v>
      </c>
      <c r="X8" s="549" t="s">
        <v>616</v>
      </c>
      <c r="Y8" s="550" t="s">
        <v>617</v>
      </c>
      <c r="Z8" s="550" t="s">
        <v>618</v>
      </c>
      <c r="AA8" s="551" t="s">
        <v>619</v>
      </c>
    </row>
    <row r="9" spans="1:27" x14ac:dyDescent="0.2">
      <c r="A9" s="552"/>
      <c r="B9" s="552"/>
      <c r="C9" s="553"/>
      <c r="D9" s="558"/>
      <c r="E9" s="557"/>
      <c r="F9" s="555"/>
      <c r="G9" s="556"/>
      <c r="H9" s="554"/>
      <c r="I9" s="555"/>
      <c r="J9" s="555"/>
      <c r="K9" s="556"/>
      <c r="L9" s="554"/>
      <c r="M9" s="555"/>
      <c r="N9" s="555"/>
      <c r="O9" s="556"/>
      <c r="P9" s="554"/>
      <c r="Q9" s="555"/>
      <c r="R9" s="555"/>
      <c r="S9" s="556"/>
      <c r="T9" s="554"/>
      <c r="U9" s="555"/>
      <c r="V9" s="555"/>
      <c r="W9" s="556"/>
      <c r="X9" s="554"/>
      <c r="Y9" s="555"/>
      <c r="Z9" s="555"/>
      <c r="AA9" s="556"/>
    </row>
    <row r="10" spans="1:27" s="541" customFormat="1" ht="14.25" x14ac:dyDescent="0.2">
      <c r="A10" s="559">
        <v>1</v>
      </c>
      <c r="B10" s="559" t="s">
        <v>238</v>
      </c>
      <c r="C10" s="560" t="s">
        <v>490</v>
      </c>
      <c r="D10" s="563">
        <f>[14]DCB!J38+[14]DCB!J40</f>
        <v>843579</v>
      </c>
      <c r="E10" s="561">
        <f>[14]DCB!W38+[14]DCB!W40</f>
        <v>183.64956425999998</v>
      </c>
      <c r="F10" s="561">
        <f>[15]Sheet1!$Q$187</f>
        <v>91.986536548000004</v>
      </c>
      <c r="G10" s="561">
        <f>(F10/E10)*1000</f>
        <v>500.88077757576934</v>
      </c>
      <c r="H10" s="564">
        <v>844643</v>
      </c>
      <c r="I10" s="561">
        <f>([16]DCB!$N$29+[16]DCB!$N$30+[16]DCB!$N$31)/1000000</f>
        <v>109.71647701000001</v>
      </c>
      <c r="J10" s="561">
        <v>72.8</v>
      </c>
      <c r="K10" s="562">
        <v>680</v>
      </c>
      <c r="L10" s="564">
        <f>'[17]Consumers-7 Yr (2)'!$Z$4</f>
        <v>844643</v>
      </c>
      <c r="M10" s="561">
        <f>'[18]MYT 4th control period -revised'!S4</f>
        <v>219.43295401999998</v>
      </c>
      <c r="N10" s="561">
        <f>(K10*M10)/1000</f>
        <v>149.21440873359998</v>
      </c>
      <c r="O10" s="562">
        <f>(N10/M10)*1000</f>
        <v>679.99999999999989</v>
      </c>
      <c r="P10" s="564">
        <f>'[17]Consumers-7 Yr (2)'!$AH$4</f>
        <v>844643</v>
      </c>
      <c r="Q10" s="561">
        <f>'[18]MYT 4th control period -revised'!$AJ$4</f>
        <v>219.43295401999993</v>
      </c>
      <c r="R10" s="561">
        <f>(O10*Q10)/1000</f>
        <v>149.21440873359992</v>
      </c>
      <c r="S10" s="562">
        <f>(R10/Q10)*1000</f>
        <v>679.99999999999989</v>
      </c>
      <c r="T10" s="564">
        <f>'[17]Consumers-7 Yr (2)'!$AI$4</f>
        <v>844643</v>
      </c>
      <c r="U10" s="561">
        <f>'[18]MYT 4th control period -revised'!$AK$4</f>
        <v>219.43295401999993</v>
      </c>
      <c r="V10" s="561">
        <f>(S10*U10)/1000</f>
        <v>149.21440873359992</v>
      </c>
      <c r="W10" s="562">
        <f>(V10/U10)*1000</f>
        <v>679.99999999999989</v>
      </c>
      <c r="X10" s="564">
        <f>'[17]Consumers-7 Yr (2)'!$AJ$4</f>
        <v>844643</v>
      </c>
      <c r="Y10" s="561">
        <f>'[18]MYT 4th control period -revised'!$AL$4</f>
        <v>219.43295401999993</v>
      </c>
      <c r="Z10" s="561">
        <f>(W10*Y10)/1000</f>
        <v>149.21440873359992</v>
      </c>
      <c r="AA10" s="562">
        <f>(Z10/Y10)*1000</f>
        <v>679.99999999999989</v>
      </c>
    </row>
    <row r="11" spans="1:27" s="541" customFormat="1" ht="25.5" x14ac:dyDescent="0.2">
      <c r="A11" s="559">
        <v>2</v>
      </c>
      <c r="B11" s="559" t="s">
        <v>491</v>
      </c>
      <c r="C11" s="560" t="s">
        <v>492</v>
      </c>
      <c r="D11" s="567"/>
      <c r="E11" s="565"/>
      <c r="F11" s="566"/>
      <c r="G11" s="561"/>
      <c r="H11" s="568"/>
      <c r="I11" s="569"/>
      <c r="J11" s="570"/>
      <c r="K11" s="562"/>
      <c r="L11" s="568"/>
      <c r="M11" s="561"/>
      <c r="N11" s="561"/>
      <c r="O11" s="562"/>
      <c r="P11" s="568"/>
      <c r="Q11" s="569"/>
      <c r="R11" s="561"/>
      <c r="S11" s="562"/>
      <c r="T11" s="568"/>
      <c r="U11" s="569"/>
      <c r="V11" s="561"/>
      <c r="W11" s="562"/>
      <c r="X11" s="568"/>
      <c r="Y11" s="569"/>
      <c r="Z11" s="561"/>
      <c r="AA11" s="562"/>
    </row>
    <row r="12" spans="1:27" ht="38.25" x14ac:dyDescent="0.2">
      <c r="A12" s="571"/>
      <c r="B12" s="571" t="s">
        <v>143</v>
      </c>
      <c r="C12" s="572" t="s">
        <v>625</v>
      </c>
      <c r="D12" s="563">
        <f>[14]DCB!J41+[14]DCB!J42</f>
        <v>5763301</v>
      </c>
      <c r="E12" s="561">
        <f>[14]DCB!W41+[14]DCB!W42</f>
        <v>5965.4097159800003</v>
      </c>
      <c r="F12" s="561">
        <v>3526.33</v>
      </c>
      <c r="G12" s="561">
        <f t="shared" ref="G12:G53" si="0">(F12/E12)*1000</f>
        <v>591.12955654223538</v>
      </c>
      <c r="H12" s="564">
        <v>5887584</v>
      </c>
      <c r="I12" s="561">
        <f>([16]DCB!$N$35+[16]DCB!$N$36)/1000000</f>
        <v>3179.2442340300004</v>
      </c>
      <c r="J12" s="561">
        <v>2021.74</v>
      </c>
      <c r="K12" s="562">
        <f t="shared" ref="K12:K31" si="1">(J12/I12)*1000</f>
        <v>635.9184294052327</v>
      </c>
      <c r="L12" s="564">
        <f>(H12-D12)+H12</f>
        <v>6011867</v>
      </c>
      <c r="M12" s="561">
        <f>I12*2</f>
        <v>6358.4884680600007</v>
      </c>
      <c r="N12" s="561">
        <f t="shared" ref="N12:N31" si="2">(K12*M12)/1000</f>
        <v>4043.48</v>
      </c>
      <c r="O12" s="562">
        <f t="shared" ref="O12:O31" si="3">(N12/M12)*1000</f>
        <v>635.9184294052327</v>
      </c>
      <c r="P12" s="564">
        <f>L12+L12*'[17]Consumers-7 Yr (2)'!AE6</f>
        <v>6309762.3241831828</v>
      </c>
      <c r="Q12" s="561">
        <f>M12+M12*'[18]MYT 4th control period -revised'!$AH$5</f>
        <v>6730.8692407378912</v>
      </c>
      <c r="R12" s="561">
        <f t="shared" ref="R12:R31" si="4">(O12*Q12)/1000</f>
        <v>4280.2837961020314</v>
      </c>
      <c r="S12" s="562">
        <f t="shared" ref="S12:S31" si="5">(R12/Q12)*1000</f>
        <v>635.91842940523281</v>
      </c>
      <c r="T12" s="564">
        <f>P12+P12*'[17]Consumers-7 Yr (2)'!$AE$6</f>
        <v>6622418.7241137503</v>
      </c>
      <c r="U12" s="561">
        <f>Q12+Q12*'[18]MYT 4th control period -revised'!$AH$5</f>
        <v>7125.0582529929607</v>
      </c>
      <c r="V12" s="561">
        <f t="shared" ref="V12:V31" si="6">(S12*U12)/1000</f>
        <v>4530.9558536640761</v>
      </c>
      <c r="W12" s="562">
        <f t="shared" ref="W12:W53" si="7">(V12/U12)*1000</f>
        <v>635.91842940523293</v>
      </c>
      <c r="X12" s="564">
        <f>T12+T12*'[17]Consumers-7 Yr (2)'!$AE$6</f>
        <v>6950567.6290540369</v>
      </c>
      <c r="Y12" s="561">
        <f>U12+U12*'[18]MYT 4th control period -revised'!$AH$5</f>
        <v>7542.3326902986573</v>
      </c>
      <c r="Z12" s="561">
        <f t="shared" ref="Z12:Z53" si="8">(W12*Y12)/1000</f>
        <v>4796.3083584664673</v>
      </c>
      <c r="AA12" s="562">
        <f t="shared" ref="AA12:AA53" si="9">(Z12/Y12)*1000</f>
        <v>635.91842940523293</v>
      </c>
    </row>
    <row r="13" spans="1:27" ht="14.25" x14ac:dyDescent="0.2">
      <c r="A13" s="571"/>
      <c r="B13" s="571" t="s">
        <v>144</v>
      </c>
      <c r="C13" s="572" t="s">
        <v>624</v>
      </c>
      <c r="D13" s="563">
        <f>[14]DCB!J43+[14]DCB!J44</f>
        <v>1729592</v>
      </c>
      <c r="E13" s="561">
        <f>[14]DCB!W43+[14]DCB!W44</f>
        <v>651.11694412999998</v>
      </c>
      <c r="F13" s="561">
        <f>[15]Sheet1!$Q$189</f>
        <v>327.53357381200004</v>
      </c>
      <c r="G13" s="561">
        <f t="shared" si="0"/>
        <v>503.03340554228572</v>
      </c>
      <c r="H13" s="564">
        <v>1788126</v>
      </c>
      <c r="I13" s="561">
        <f>([16]DCB!$N$37+[16]DCB!$N$38)/1000000</f>
        <v>359.70217625999999</v>
      </c>
      <c r="J13" s="561">
        <v>194.44</v>
      </c>
      <c r="K13" s="562">
        <f t="shared" si="1"/>
        <v>540.55830860321191</v>
      </c>
      <c r="L13" s="564">
        <f>(H13-D13)+H13</f>
        <v>1846660</v>
      </c>
      <c r="M13" s="561">
        <f t="shared" ref="M13:M31" si="10">I13*2</f>
        <v>719.40435251999997</v>
      </c>
      <c r="N13" s="561">
        <f t="shared" si="2"/>
        <v>388.88</v>
      </c>
      <c r="O13" s="562">
        <f t="shared" si="3"/>
        <v>540.55830860321191</v>
      </c>
      <c r="P13" s="564">
        <f>L13+L13*'[17]Consumers-7 Yr (2)'!$AE$6</f>
        <v>1938164.2497374138</v>
      </c>
      <c r="Q13" s="561">
        <f>M13+M13*'[18]MYT 4th control period -revised'!$AH$5</f>
        <v>761.53580404419688</v>
      </c>
      <c r="R13" s="561">
        <f t="shared" si="4"/>
        <v>411.65450617491808</v>
      </c>
      <c r="S13" s="562">
        <f t="shared" si="5"/>
        <v>540.55830860321191</v>
      </c>
      <c r="T13" s="564">
        <f>P13+P13*'[17]Consumers-7 Yr (2)'!$AE$6</f>
        <v>2034202.6463778887</v>
      </c>
      <c r="U13" s="561">
        <f>Q13+Q13*'[18]MYT 4th control period -revised'!$AH$5</f>
        <v>806.13465683072684</v>
      </c>
      <c r="V13" s="561">
        <f t="shared" si="6"/>
        <v>435.76278660284839</v>
      </c>
      <c r="W13" s="562">
        <f t="shared" si="7"/>
        <v>540.55830860321191</v>
      </c>
      <c r="X13" s="564">
        <f>T13+T13*'[17]Consumers-7 Yr (2)'!$AE$6</f>
        <v>2134999.8624169379</v>
      </c>
      <c r="Y13" s="561">
        <f>U13+U13*'[18]MYT 4th control period -revised'!$AH$5</f>
        <v>853.34541264179165</v>
      </c>
      <c r="Z13" s="561">
        <f t="shared" si="8"/>
        <v>461.28295291195684</v>
      </c>
      <c r="AA13" s="562">
        <f t="shared" si="9"/>
        <v>540.55830860321191</v>
      </c>
    </row>
    <row r="14" spans="1:27" s="541" customFormat="1" ht="25.5" x14ac:dyDescent="0.2">
      <c r="A14" s="559">
        <v>3</v>
      </c>
      <c r="B14" s="559" t="s">
        <v>493</v>
      </c>
      <c r="C14" s="560" t="s">
        <v>427</v>
      </c>
      <c r="D14" s="563"/>
      <c r="E14" s="563"/>
      <c r="F14" s="561"/>
      <c r="G14" s="561"/>
      <c r="H14" s="564"/>
      <c r="I14" s="561"/>
      <c r="J14" s="561"/>
      <c r="K14" s="562"/>
      <c r="L14" s="564"/>
      <c r="M14" s="561"/>
      <c r="N14" s="561"/>
      <c r="O14" s="562"/>
      <c r="P14" s="564"/>
      <c r="Q14" s="561"/>
      <c r="R14" s="561"/>
      <c r="S14" s="562"/>
      <c r="T14" s="564"/>
      <c r="U14" s="561"/>
      <c r="V14" s="561"/>
      <c r="W14" s="562"/>
      <c r="X14" s="564"/>
      <c r="Y14" s="561"/>
      <c r="Z14" s="561"/>
      <c r="AA14" s="562"/>
    </row>
    <row r="15" spans="1:27" ht="14.25" x14ac:dyDescent="0.2">
      <c r="A15" s="571"/>
      <c r="B15" s="571" t="s">
        <v>274</v>
      </c>
      <c r="C15" s="572" t="s">
        <v>275</v>
      </c>
      <c r="D15" s="563">
        <f>[14]DCB!J46</f>
        <v>9275</v>
      </c>
      <c r="E15" s="561">
        <f>[14]DCB!W46</f>
        <v>43.139318830000001</v>
      </c>
      <c r="F15" s="561">
        <f>[15]Sheet1!$Q$190</f>
        <v>36.566031746999997</v>
      </c>
      <c r="G15" s="561">
        <f t="shared" si="0"/>
        <v>847.62654438510049</v>
      </c>
      <c r="H15" s="564">
        <v>9356</v>
      </c>
      <c r="I15" s="561">
        <f>([16]DCB!$N$40)/1000000</f>
        <v>22.421314710000001</v>
      </c>
      <c r="J15" s="561">
        <v>19.63</v>
      </c>
      <c r="K15" s="562">
        <f t="shared" si="1"/>
        <v>875.5061981822563</v>
      </c>
      <c r="L15" s="564">
        <f>(H15-D15)+H15</f>
        <v>9437</v>
      </c>
      <c r="M15" s="561">
        <f t="shared" si="10"/>
        <v>44.842629420000002</v>
      </c>
      <c r="N15" s="561">
        <f t="shared" si="2"/>
        <v>39.26</v>
      </c>
      <c r="O15" s="562">
        <f t="shared" si="3"/>
        <v>875.5061981822563</v>
      </c>
      <c r="P15" s="564">
        <f>L15+L15*'[17]Consumers-7 Yr (2)'!$AE$8</f>
        <v>9645.3064394031571</v>
      </c>
      <c r="Q15" s="561">
        <f>M15+M15*'[18]MYT 4th control period -revised'!$AH$6</f>
        <v>47.845805421036765</v>
      </c>
      <c r="R15" s="561">
        <f t="shared" si="4"/>
        <v>41.889299203139892</v>
      </c>
      <c r="S15" s="562">
        <f t="shared" si="5"/>
        <v>875.50619818225641</v>
      </c>
      <c r="T15" s="564">
        <f>P15+P15*'[17]Consumers-7 Yr (2)'!$AE$8</f>
        <v>9858.2109049477604</v>
      </c>
      <c r="U15" s="561">
        <f>Q15+Q15*'[18]MYT 4th control period -revised'!$AH$6</f>
        <v>51.050108479292447</v>
      </c>
      <c r="V15" s="561">
        <f t="shared" si="6"/>
        <v>44.6946863914971</v>
      </c>
      <c r="W15" s="562">
        <f t="shared" si="7"/>
        <v>875.50619818225641</v>
      </c>
      <c r="X15" s="564">
        <f>T15+T15*'[17]Consumers-7 Yr (2)'!$AE$8</f>
        <v>10075.814890588859</v>
      </c>
      <c r="Y15" s="561">
        <f>U15+U15*'[18]MYT 4th control period -revised'!$AH$6</f>
        <v>54.469008365813295</v>
      </c>
      <c r="Z15" s="561">
        <f t="shared" si="8"/>
        <v>47.687954433110718</v>
      </c>
      <c r="AA15" s="562">
        <f t="shared" si="9"/>
        <v>875.50619818225641</v>
      </c>
    </row>
    <row r="16" spans="1:27" ht="14.25" x14ac:dyDescent="0.2">
      <c r="A16" s="571"/>
      <c r="B16" s="571" t="s">
        <v>145</v>
      </c>
      <c r="C16" s="572" t="s">
        <v>276</v>
      </c>
      <c r="D16" s="563">
        <f>[14]DCB!J47</f>
        <v>2352</v>
      </c>
      <c r="E16" s="561">
        <f>[14]DCB!W47</f>
        <v>6.14871386</v>
      </c>
      <c r="F16" s="561">
        <f>[15]Sheet1!$Q$191</f>
        <v>4.9035461920000003</v>
      </c>
      <c r="G16" s="561">
        <f t="shared" si="0"/>
        <v>797.49136220172068</v>
      </c>
      <c r="H16" s="564">
        <v>2459</v>
      </c>
      <c r="I16" s="561">
        <f>([16]DCB!$N$41)/1000000</f>
        <v>3.22297813</v>
      </c>
      <c r="J16" s="561">
        <v>2.67</v>
      </c>
      <c r="K16" s="562">
        <f t="shared" si="1"/>
        <v>828.42634740434926</v>
      </c>
      <c r="L16" s="564">
        <f t="shared" ref="L16:L21" si="11">(H16-D16)+H16</f>
        <v>2566</v>
      </c>
      <c r="M16" s="561">
        <f t="shared" si="10"/>
        <v>6.44595626</v>
      </c>
      <c r="N16" s="561">
        <f t="shared" si="2"/>
        <v>5.34</v>
      </c>
      <c r="O16" s="562">
        <f t="shared" si="3"/>
        <v>828.42634740434926</v>
      </c>
      <c r="P16" s="564">
        <f>L16+L16*'[17]Consumers-7 Yr (2)'!AE8</f>
        <v>2622.6402801217023</v>
      </c>
      <c r="Q16" s="561">
        <f>M16+M16*'[18]MYT 4th control period -revised'!$AH$6</f>
        <v>6.8776513098699077</v>
      </c>
      <c r="R16" s="561">
        <f t="shared" si="4"/>
        <v>5.6976275533562655</v>
      </c>
      <c r="S16" s="562">
        <f t="shared" si="5"/>
        <v>828.42634740434914</v>
      </c>
      <c r="T16" s="564">
        <f>P16+P16*'[17]Consumers-7 Yr (2)'!$AE$8</f>
        <v>2680.5308023838038</v>
      </c>
      <c r="U16" s="561">
        <f>Q16+Q16*'[18]MYT 4th control period -revised'!$AH$6</f>
        <v>7.3382576040246441</v>
      </c>
      <c r="V16" s="561">
        <f t="shared" si="6"/>
        <v>6.0792059432143271</v>
      </c>
      <c r="W16" s="562">
        <f t="shared" si="7"/>
        <v>828.42634740434914</v>
      </c>
      <c r="X16" s="564">
        <f>T16+T16*'[17]Consumers-7 Yr (2)'!$AE$8</f>
        <v>2739.699163849848</v>
      </c>
      <c r="Y16" s="561">
        <f>U16+U16*'[18]MYT 4th control period -revised'!$AH$6</f>
        <v>7.8297113704713377</v>
      </c>
      <c r="Z16" s="561">
        <f t="shared" si="8"/>
        <v>6.4863391918698712</v>
      </c>
      <c r="AA16" s="562">
        <f t="shared" si="9"/>
        <v>828.42634740434914</v>
      </c>
    </row>
    <row r="17" spans="1:27" s="541" customFormat="1" ht="25.5" x14ac:dyDescent="0.2">
      <c r="A17" s="559">
        <v>5</v>
      </c>
      <c r="B17" s="559" t="s">
        <v>428</v>
      </c>
      <c r="C17" s="560" t="s">
        <v>429</v>
      </c>
      <c r="D17" s="563"/>
      <c r="E17" s="563"/>
      <c r="F17" s="561"/>
      <c r="G17" s="561"/>
      <c r="H17" s="564"/>
      <c r="I17" s="561"/>
      <c r="J17" s="561"/>
      <c r="K17" s="562"/>
      <c r="L17" s="564"/>
      <c r="M17" s="561"/>
      <c r="N17" s="561"/>
      <c r="O17" s="562"/>
      <c r="P17" s="564"/>
      <c r="Q17" s="561"/>
      <c r="R17" s="561"/>
      <c r="S17" s="562"/>
      <c r="T17" s="564"/>
      <c r="U17" s="561"/>
      <c r="V17" s="561"/>
      <c r="W17" s="562"/>
      <c r="X17" s="564"/>
      <c r="Y17" s="561"/>
      <c r="Z17" s="561"/>
      <c r="AA17" s="562"/>
    </row>
    <row r="18" spans="1:27" ht="25.5" x14ac:dyDescent="0.2">
      <c r="A18" s="571"/>
      <c r="B18" s="571" t="s">
        <v>146</v>
      </c>
      <c r="C18" s="572" t="s">
        <v>626</v>
      </c>
      <c r="D18" s="563">
        <f>[14]DCB!J49+[14]DCB!J50</f>
        <v>923014</v>
      </c>
      <c r="E18" s="561">
        <f>[14]DCB!W49+[14]DCB!W50</f>
        <v>1839.7196892699999</v>
      </c>
      <c r="F18" s="561">
        <v>1733.46</v>
      </c>
      <c r="G18" s="561">
        <f t="shared" si="0"/>
        <v>942.24136976423631</v>
      </c>
      <c r="H18" s="564">
        <v>941376</v>
      </c>
      <c r="I18" s="561">
        <f>([16]DCB!$N$43+[16]DCB!$N$44)/1000000</f>
        <v>960.46076748000007</v>
      </c>
      <c r="J18" s="561">
        <v>927.27</v>
      </c>
      <c r="K18" s="562">
        <f t="shared" si="1"/>
        <v>965.44287012671623</v>
      </c>
      <c r="L18" s="564">
        <f t="shared" si="11"/>
        <v>959738</v>
      </c>
      <c r="M18" s="561">
        <f t="shared" si="10"/>
        <v>1920.9215349600001</v>
      </c>
      <c r="N18" s="561">
        <f t="shared" si="2"/>
        <v>1854.5399999999997</v>
      </c>
      <c r="O18" s="562">
        <f t="shared" si="3"/>
        <v>965.44287012671612</v>
      </c>
      <c r="P18" s="564">
        <f>L18+L18*'[17]Consumers-7 Yr (2)'!$AE$9</f>
        <v>1007350.8222717928</v>
      </c>
      <c r="Q18" s="561">
        <f>M18+M18*'[18]MYT 4th control period -revised'!$AH$7</f>
        <v>2063.7460245141838</v>
      </c>
      <c r="R18" s="561">
        <f t="shared" si="4"/>
        <v>1992.4288851195738</v>
      </c>
      <c r="S18" s="562">
        <f t="shared" si="5"/>
        <v>965.44287012671612</v>
      </c>
      <c r="T18" s="564">
        <f>P18+P18*'[17]Consumers-7 Yr (2)'!$AE$9</f>
        <v>1057325.7275752935</v>
      </c>
      <c r="U18" s="561">
        <f>Q18+Q18*'[18]MYT 4th control period -revised'!$AH$7</f>
        <v>2217.1898102994537</v>
      </c>
      <c r="V18" s="561">
        <f t="shared" si="6"/>
        <v>2140.5700940712136</v>
      </c>
      <c r="W18" s="562">
        <f t="shared" si="7"/>
        <v>965.442870126716</v>
      </c>
      <c r="X18" s="564">
        <f>T18+T18*'[17]Consumers-7 Yr (2)'!$AE$9</f>
        <v>1109779.8993913897</v>
      </c>
      <c r="Y18" s="561">
        <f>U18+U18*'[18]MYT 4th control period -revised'!$AH$7</f>
        <v>2382.0424589566255</v>
      </c>
      <c r="Z18" s="561">
        <f t="shared" si="8"/>
        <v>2299.7259083387848</v>
      </c>
      <c r="AA18" s="562">
        <f t="shared" si="9"/>
        <v>965.442870126716</v>
      </c>
    </row>
    <row r="19" spans="1:27" ht="15" x14ac:dyDescent="0.2">
      <c r="A19" s="571"/>
      <c r="B19" s="571" t="s">
        <v>155</v>
      </c>
      <c r="C19" s="573" t="s">
        <v>276</v>
      </c>
      <c r="D19" s="563">
        <f>[14]DCB!J51+[14]DCB!J52</f>
        <v>123512</v>
      </c>
      <c r="E19" s="561">
        <f>[14]DCB!W51+[14]DCB!W52</f>
        <v>166.25162919999997</v>
      </c>
      <c r="F19" s="561">
        <f>[15]Sheet1!$Q$193</f>
        <v>117.17499344399999</v>
      </c>
      <c r="G19" s="561">
        <f t="shared" si="0"/>
        <v>704.80508376275225</v>
      </c>
      <c r="H19" s="564">
        <v>128031</v>
      </c>
      <c r="I19" s="561">
        <f>([16]DCB!$N$45+[16]DCB!$N$46)/1000000</f>
        <v>94.278766180000005</v>
      </c>
      <c r="J19" s="561">
        <v>81.89</v>
      </c>
      <c r="K19" s="562">
        <f t="shared" si="1"/>
        <v>868.59431150862781</v>
      </c>
      <c r="L19" s="564">
        <f t="shared" si="11"/>
        <v>132550</v>
      </c>
      <c r="M19" s="561">
        <f t="shared" si="10"/>
        <v>188.55753236000001</v>
      </c>
      <c r="N19" s="561">
        <f t="shared" si="2"/>
        <v>163.78000000000003</v>
      </c>
      <c r="O19" s="562">
        <f t="shared" si="3"/>
        <v>868.59431150862792</v>
      </c>
      <c r="P19" s="564">
        <f>L19+L19*'[17]Consumers-7 Yr (2)'!$AE$9</f>
        <v>139125.83589701162</v>
      </c>
      <c r="Q19" s="561">
        <f>M19+M19*'[18]MYT 4th control period -revised'!$AH$7</f>
        <v>202.57717492258612</v>
      </c>
      <c r="R19" s="561">
        <f t="shared" si="4"/>
        <v>175.95738177924659</v>
      </c>
      <c r="S19" s="562">
        <f t="shared" si="5"/>
        <v>868.59431150862792</v>
      </c>
      <c r="T19" s="564">
        <f>P19+P19*'[17]Consumers-7 Yr (2)'!$AE$9</f>
        <v>146027.90052087672</v>
      </c>
      <c r="U19" s="561">
        <f>Q19+Q19*'[18]MYT 4th control period -revised'!$AH$7</f>
        <v>217.63920690935825</v>
      </c>
      <c r="V19" s="561">
        <f t="shared" si="6"/>
        <v>189.04017708271786</v>
      </c>
      <c r="W19" s="562">
        <f t="shared" si="7"/>
        <v>868.59431150862792</v>
      </c>
      <c r="X19" s="564">
        <f>T19+T19*'[17]Consumers-7 Yr (2)'!$AE$9</f>
        <v>153272.37815354683</v>
      </c>
      <c r="Y19" s="561">
        <f>U19+U19*'[18]MYT 4th control period -revised'!$AH$7</f>
        <v>233.82113213018914</v>
      </c>
      <c r="Z19" s="561">
        <f t="shared" si="8"/>
        <v>203.09570527878958</v>
      </c>
      <c r="AA19" s="562">
        <f t="shared" si="9"/>
        <v>868.59431150862792</v>
      </c>
    </row>
    <row r="20" spans="1:27" s="541" customFormat="1" ht="15" x14ac:dyDescent="0.2">
      <c r="A20" s="559">
        <v>6</v>
      </c>
      <c r="B20" s="559" t="s">
        <v>430</v>
      </c>
      <c r="C20" s="560" t="s">
        <v>50</v>
      </c>
      <c r="D20" s="563"/>
      <c r="E20" s="565"/>
      <c r="F20" s="561"/>
      <c r="G20" s="561"/>
      <c r="H20" s="564"/>
      <c r="I20" s="561"/>
      <c r="J20" s="561"/>
      <c r="K20" s="562"/>
      <c r="L20" s="564"/>
      <c r="M20" s="561"/>
      <c r="N20" s="561"/>
      <c r="O20" s="562"/>
      <c r="P20" s="564"/>
      <c r="Q20" s="561"/>
      <c r="R20" s="561"/>
      <c r="S20" s="562"/>
      <c r="T20" s="564"/>
      <c r="U20" s="561"/>
      <c r="V20" s="561"/>
      <c r="W20" s="562"/>
      <c r="X20" s="564"/>
      <c r="Y20" s="561"/>
      <c r="Z20" s="561"/>
      <c r="AA20" s="562"/>
    </row>
    <row r="21" spans="1:27" s="541" customFormat="1" ht="15" x14ac:dyDescent="0.2">
      <c r="A21" s="559"/>
      <c r="B21" s="571" t="s">
        <v>56</v>
      </c>
      <c r="C21" s="560" t="s">
        <v>570</v>
      </c>
      <c r="D21" s="563">
        <f>[14]DCB!J55</f>
        <v>872229</v>
      </c>
      <c r="E21" s="561">
        <f>[14]DCB!W55</f>
        <v>6289.0390668999999</v>
      </c>
      <c r="F21" s="561">
        <f>[15]Sheet1!$Q$194</f>
        <v>2103.15</v>
      </c>
      <c r="G21" s="561">
        <f t="shared" si="0"/>
        <v>334.41515907718588</v>
      </c>
      <c r="H21" s="564">
        <v>886138</v>
      </c>
      <c r="I21" s="561">
        <f>([16]DCB!$N$48)/1000000</f>
        <v>2894.0935160500003</v>
      </c>
      <c r="J21" s="561">
        <v>1048</v>
      </c>
      <c r="K21" s="562">
        <v>370</v>
      </c>
      <c r="L21" s="564">
        <f t="shared" si="11"/>
        <v>900047</v>
      </c>
      <c r="M21" s="566">
        <f>'[18]MYT 4th control period -revised'!$S$8</f>
        <v>5940.3101999999999</v>
      </c>
      <c r="N21" s="561">
        <f t="shared" si="2"/>
        <v>2197.9147739999999</v>
      </c>
      <c r="O21" s="562">
        <f t="shared" si="3"/>
        <v>370</v>
      </c>
      <c r="P21" s="564">
        <f>'[17]Consumers-7 Yr (2)'!$AH$10</f>
        <v>925047</v>
      </c>
      <c r="Q21" s="561">
        <f>'[18]MYT 4th control period -revised'!$AJ$8</f>
        <v>6660.3383999999996</v>
      </c>
      <c r="R21" s="561">
        <f t="shared" si="4"/>
        <v>2464.3252079999997</v>
      </c>
      <c r="S21" s="562">
        <f t="shared" si="5"/>
        <v>370</v>
      </c>
      <c r="T21" s="564">
        <f>'[17]Consumers-7 Yr (2)'!$AI$10</f>
        <v>950047</v>
      </c>
      <c r="U21" s="561">
        <f>'[18]MYT 4th control period -revised'!$AK$8</f>
        <v>6840.3383999999996</v>
      </c>
      <c r="V21" s="561">
        <f t="shared" si="6"/>
        <v>2530.9252079999997</v>
      </c>
      <c r="W21" s="562">
        <f t="shared" si="7"/>
        <v>370</v>
      </c>
      <c r="X21" s="564">
        <f>'[17]Consumers-7 Yr (2)'!$AJ$10</f>
        <v>975047</v>
      </c>
      <c r="Y21" s="561">
        <f>'[18]MYT 4th control period -revised'!$AL$8</f>
        <v>7020.3383999999996</v>
      </c>
      <c r="Z21" s="561">
        <f t="shared" si="8"/>
        <v>2597.5252079999996</v>
      </c>
      <c r="AA21" s="562">
        <f t="shared" si="9"/>
        <v>369.99999999999994</v>
      </c>
    </row>
    <row r="22" spans="1:27" s="541" customFormat="1" ht="14.25" x14ac:dyDescent="0.2">
      <c r="A22" s="559"/>
      <c r="B22" s="571" t="s">
        <v>57</v>
      </c>
      <c r="C22" s="560" t="s">
        <v>571</v>
      </c>
      <c r="D22" s="563"/>
      <c r="E22" s="561"/>
      <c r="F22" s="561"/>
      <c r="G22" s="561"/>
      <c r="H22" s="564"/>
      <c r="I22" s="561"/>
      <c r="J22" s="561"/>
      <c r="K22" s="562"/>
      <c r="L22" s="564"/>
      <c r="M22" s="561"/>
      <c r="N22" s="561"/>
      <c r="O22" s="562"/>
      <c r="P22" s="564"/>
      <c r="Q22" s="561"/>
      <c r="R22" s="561"/>
      <c r="S22" s="562"/>
      <c r="T22" s="564"/>
      <c r="U22" s="561"/>
      <c r="V22" s="561"/>
      <c r="W22" s="562"/>
      <c r="X22" s="564"/>
      <c r="Y22" s="561"/>
      <c r="Z22" s="561"/>
      <c r="AA22" s="562"/>
    </row>
    <row r="23" spans="1:27" s="541" customFormat="1" ht="14.25" x14ac:dyDescent="0.2">
      <c r="A23" s="559">
        <v>7</v>
      </c>
      <c r="B23" s="559"/>
      <c r="C23" s="560"/>
      <c r="D23" s="563"/>
      <c r="E23" s="561"/>
      <c r="F23" s="561"/>
      <c r="G23" s="561"/>
      <c r="H23" s="564"/>
      <c r="I23" s="561"/>
      <c r="J23" s="561"/>
      <c r="K23" s="562"/>
      <c r="L23" s="564"/>
      <c r="M23" s="561"/>
      <c r="N23" s="561"/>
      <c r="O23" s="562"/>
      <c r="P23" s="564"/>
      <c r="Q23" s="561"/>
      <c r="R23" s="561"/>
      <c r="S23" s="562"/>
      <c r="T23" s="564"/>
      <c r="U23" s="561"/>
      <c r="V23" s="561"/>
      <c r="W23" s="562"/>
      <c r="X23" s="564"/>
      <c r="Y23" s="561"/>
      <c r="Z23" s="561"/>
      <c r="AA23" s="562"/>
    </row>
    <row r="24" spans="1:27" s="541" customFormat="1" ht="16.5" customHeight="1" x14ac:dyDescent="0.2">
      <c r="A24" s="559">
        <v>8</v>
      </c>
      <c r="B24" s="559" t="s">
        <v>628</v>
      </c>
      <c r="C24" s="560" t="s">
        <v>51</v>
      </c>
      <c r="D24" s="563">
        <f>[14]DCB!J56</f>
        <v>454</v>
      </c>
      <c r="E24" s="561">
        <f>[14]DCB!W57</f>
        <v>0.94870686999999998</v>
      </c>
      <c r="F24" s="561">
        <v>0.61</v>
      </c>
      <c r="G24" s="561">
        <f t="shared" si="0"/>
        <v>642.98048142098935</v>
      </c>
      <c r="H24" s="564">
        <v>310</v>
      </c>
      <c r="I24" s="561">
        <f>([16]DCB!$N$50)/1000000</f>
        <v>0.96310619999999991</v>
      </c>
      <c r="J24" s="561">
        <v>0.57999999999999996</v>
      </c>
      <c r="K24" s="562">
        <f t="shared" si="1"/>
        <v>602.21811467935731</v>
      </c>
      <c r="L24" s="564">
        <f>D24</f>
        <v>454</v>
      </c>
      <c r="M24" s="561">
        <f t="shared" si="10"/>
        <v>1.9262123999999998</v>
      </c>
      <c r="N24" s="561">
        <f t="shared" si="2"/>
        <v>1.1599999999999999</v>
      </c>
      <c r="O24" s="562">
        <f t="shared" si="3"/>
        <v>602.21811467935731</v>
      </c>
      <c r="P24" s="564">
        <v>454</v>
      </c>
      <c r="Q24" s="561">
        <f>'[18]MYT 4th control period -revised'!$AJ$10</f>
        <v>1.9262123999999998</v>
      </c>
      <c r="R24" s="561">
        <f t="shared" si="4"/>
        <v>1.1599999999999999</v>
      </c>
      <c r="S24" s="562">
        <f t="shared" si="5"/>
        <v>602.21811467935731</v>
      </c>
      <c r="T24" s="564">
        <f>'[17]Consumers-7 Yr (2)'!$AH$12</f>
        <v>454</v>
      </c>
      <c r="U24" s="561">
        <f>'[18]MYT 4th control period -revised'!$AK$10</f>
        <v>1.9262123999999998</v>
      </c>
      <c r="V24" s="561">
        <f t="shared" si="6"/>
        <v>1.1599999999999999</v>
      </c>
      <c r="W24" s="562">
        <f t="shared" si="7"/>
        <v>602.21811467935731</v>
      </c>
      <c r="X24" s="564">
        <f>'[17]Consumers-7 Yr (2)'!$AJ$12</f>
        <v>454</v>
      </c>
      <c r="Y24" s="561">
        <f>'[18]MYT 4th control period -revised'!$AL$10</f>
        <v>1.9262123999999998</v>
      </c>
      <c r="Z24" s="561">
        <f t="shared" si="8"/>
        <v>1.1599999999999999</v>
      </c>
      <c r="AA24" s="562">
        <f t="shared" si="9"/>
        <v>602.21811467935731</v>
      </c>
    </row>
    <row r="25" spans="1:27" s="541" customFormat="1" ht="16.5" customHeight="1" x14ac:dyDescent="0.2">
      <c r="A25" s="559">
        <v>9</v>
      </c>
      <c r="B25" s="559" t="s">
        <v>627</v>
      </c>
      <c r="C25" s="560" t="s">
        <v>52</v>
      </c>
      <c r="D25" s="567">
        <f>[14]DCB!J60</f>
        <v>1550</v>
      </c>
      <c r="E25" s="561">
        <f>[14]DCB!W60</f>
        <v>4.5218573600000003</v>
      </c>
      <c r="F25" s="561">
        <v>1.87</v>
      </c>
      <c r="G25" s="561">
        <f t="shared" si="0"/>
        <v>413.54687932924975</v>
      </c>
      <c r="H25" s="564">
        <v>1595</v>
      </c>
      <c r="I25" s="561">
        <f>([16]DCB!$N$52+[16]DCB!$N$53)/1000000</f>
        <v>2.3449895600000001</v>
      </c>
      <c r="J25" s="561">
        <v>1.18</v>
      </c>
      <c r="K25" s="562">
        <f t="shared" si="1"/>
        <v>503.200534504725</v>
      </c>
      <c r="L25" s="564">
        <f>(H25-D25)+H25</f>
        <v>1640</v>
      </c>
      <c r="M25" s="561">
        <f t="shared" si="10"/>
        <v>4.6899791200000003</v>
      </c>
      <c r="N25" s="561">
        <f t="shared" si="2"/>
        <v>2.36</v>
      </c>
      <c r="O25" s="562">
        <f t="shared" si="3"/>
        <v>503.200534504725</v>
      </c>
      <c r="P25" s="564">
        <f>L25+L25*'[17]Consumers-7 Yr (2)'!$AE$13</f>
        <v>1720.2587336901961</v>
      </c>
      <c r="Q25" s="561">
        <f>M25+M25*'[18]MYT 4th control period -revised'!$AH$11</f>
        <v>4.7370327105602836</v>
      </c>
      <c r="R25" s="561">
        <f t="shared" si="4"/>
        <v>2.3836773919203011</v>
      </c>
      <c r="S25" s="562">
        <f t="shared" si="5"/>
        <v>503.200534504725</v>
      </c>
      <c r="T25" s="564">
        <f>P25+P25*'[17]Consumers-7 Yr (2)'!$AE$13</f>
        <v>1804.4451895349982</v>
      </c>
      <c r="U25" s="561">
        <f>'[18]MYT 4th control period -revised'!$AK$11</f>
        <v>4.7845583800633431</v>
      </c>
      <c r="V25" s="561">
        <f t="shared" si="6"/>
        <v>2.4075923342169352</v>
      </c>
      <c r="W25" s="562">
        <f t="shared" si="7"/>
        <v>503.20053450472489</v>
      </c>
      <c r="X25" s="564">
        <f>T25+T25*'[17]Consumers-7 Yr (2)'!$AE$13</f>
        <v>1892.751583391977</v>
      </c>
      <c r="Y25" s="561">
        <f>'[18]MYT 4th control period -revised'!$AL$11</f>
        <v>4.8325608647795804</v>
      </c>
      <c r="Z25" s="561">
        <f t="shared" si="8"/>
        <v>2.4317472101837003</v>
      </c>
      <c r="AA25" s="562">
        <f t="shared" si="9"/>
        <v>503.20053450472489</v>
      </c>
    </row>
    <row r="26" spans="1:27" s="541" customFormat="1" ht="24" customHeight="1" x14ac:dyDescent="0.2">
      <c r="A26" s="559">
        <v>10</v>
      </c>
      <c r="B26" s="559" t="s">
        <v>53</v>
      </c>
      <c r="C26" s="560" t="s">
        <v>54</v>
      </c>
      <c r="D26" s="563"/>
      <c r="E26" s="561"/>
      <c r="F26" s="561"/>
      <c r="G26" s="561"/>
      <c r="H26" s="564"/>
      <c r="I26" s="561"/>
      <c r="J26" s="561"/>
      <c r="K26" s="562"/>
      <c r="L26" s="564"/>
      <c r="M26" s="561"/>
      <c r="N26" s="561"/>
      <c r="O26" s="562"/>
      <c r="P26" s="564"/>
      <c r="Q26" s="561"/>
      <c r="R26" s="561"/>
      <c r="S26" s="562"/>
      <c r="T26" s="564"/>
      <c r="U26" s="561"/>
      <c r="V26" s="561"/>
      <c r="W26" s="562"/>
      <c r="X26" s="564"/>
      <c r="Y26" s="561"/>
      <c r="Z26" s="561"/>
      <c r="AA26" s="562"/>
    </row>
    <row r="27" spans="1:27" ht="14.25" x14ac:dyDescent="0.2">
      <c r="A27" s="571"/>
      <c r="B27" s="571" t="s">
        <v>58</v>
      </c>
      <c r="C27" s="572" t="s">
        <v>393</v>
      </c>
      <c r="D27" s="563">
        <f>[14]DCB!J65</f>
        <v>102934</v>
      </c>
      <c r="E27" s="561">
        <f>[14]DCB!W65</f>
        <v>865.43572033000009</v>
      </c>
      <c r="F27" s="561">
        <f>[15]Sheet1!$Q$198</f>
        <v>645.71011574200008</v>
      </c>
      <c r="G27" s="561">
        <f t="shared" si="0"/>
        <v>746.10985030267045</v>
      </c>
      <c r="H27" s="564">
        <v>104453</v>
      </c>
      <c r="I27" s="561">
        <f>([16]DCB!$N$55+[16]DCB!$N$56+[16]DCB!$N$57+[16]DCB!$N$58)/1000000</f>
        <v>455.03466803000003</v>
      </c>
      <c r="J27" s="561">
        <v>350.87</v>
      </c>
      <c r="K27" s="562">
        <f t="shared" si="1"/>
        <v>771.08410556724311</v>
      </c>
      <c r="L27" s="564">
        <f>(H27-D27)+H27</f>
        <v>105972</v>
      </c>
      <c r="M27" s="561">
        <f t="shared" si="10"/>
        <v>910.06933606000007</v>
      </c>
      <c r="N27" s="561">
        <f t="shared" si="2"/>
        <v>701.74</v>
      </c>
      <c r="O27" s="562">
        <f t="shared" si="3"/>
        <v>771.08410556724311</v>
      </c>
      <c r="P27" s="564">
        <f>L27+L27*'[17]Consumers-7 Yr (2)'!$AE$14</f>
        <v>109550.17915675901</v>
      </c>
      <c r="Q27" s="561">
        <f>M27+M27*'[18]MYT 4th control period -revised'!$AH$12</f>
        <v>929.24375496335904</v>
      </c>
      <c r="R27" s="561">
        <f t="shared" si="4"/>
        <v>716.52508964986805</v>
      </c>
      <c r="S27" s="562">
        <f t="shared" si="5"/>
        <v>771.084105567243</v>
      </c>
      <c r="T27" s="564">
        <f>P27+P27*'[17]Consumers-7 Yr (2)'!$AE$14</f>
        <v>113249.17670024154</v>
      </c>
      <c r="U27" s="561">
        <f>Q27+Q27*'[18]MYT 4th control period -revised'!$AH$12</f>
        <v>948.82216323952036</v>
      </c>
      <c r="V27" s="561">
        <f t="shared" si="6"/>
        <v>731.62168908392221</v>
      </c>
      <c r="W27" s="562">
        <f t="shared" si="7"/>
        <v>771.084105567243</v>
      </c>
      <c r="X27" s="564">
        <f>T27+T27*'[17]Consumers-7 Yr (2)'!$AE$14</f>
        <v>117073.07210269618</v>
      </c>
      <c r="Y27" s="561">
        <f>U27+U27*'[18]MYT 4th control period -revised'!$AH$12</f>
        <v>968.81307261518407</v>
      </c>
      <c r="Z27" s="561">
        <f t="shared" si="8"/>
        <v>747.03636155933168</v>
      </c>
      <c r="AA27" s="562">
        <f t="shared" si="9"/>
        <v>771.084105567243</v>
      </c>
    </row>
    <row r="28" spans="1:27" ht="25.5" x14ac:dyDescent="0.2">
      <c r="A28" s="571"/>
      <c r="B28" s="571" t="s">
        <v>59</v>
      </c>
      <c r="C28" s="572" t="s">
        <v>394</v>
      </c>
      <c r="D28" s="563">
        <f>[14]DCB!J70</f>
        <v>99110</v>
      </c>
      <c r="E28" s="561">
        <f>[14]DCB!W70</f>
        <v>319.97096648000002</v>
      </c>
      <c r="F28" s="561">
        <v>215.6</v>
      </c>
      <c r="G28" s="561">
        <f t="shared" si="0"/>
        <v>673.81113471579988</v>
      </c>
      <c r="H28" s="564">
        <v>101218</v>
      </c>
      <c r="I28" s="561">
        <f>([16]DCB!$N$60+[16]DCB!$N$61+[16]DCB!$N$62+[16]DCB!$N$63)/1000000</f>
        <v>171.01248923</v>
      </c>
      <c r="J28" s="561">
        <v>125.73</v>
      </c>
      <c r="K28" s="562">
        <f t="shared" si="1"/>
        <v>735.20946081839566</v>
      </c>
      <c r="L28" s="564">
        <f>(H28-D28)+H28</f>
        <v>103326</v>
      </c>
      <c r="M28" s="561">
        <f t="shared" si="10"/>
        <v>342.02497846</v>
      </c>
      <c r="N28" s="561">
        <f t="shared" si="2"/>
        <v>251.46</v>
      </c>
      <c r="O28" s="562">
        <f t="shared" si="3"/>
        <v>735.20946081839566</v>
      </c>
      <c r="P28" s="564">
        <f>L28+L28*'[17]Consumers-7 Yr (2)'!$AE$14</f>
        <v>106814.83610341676</v>
      </c>
      <c r="Q28" s="561">
        <f>M28+M28*'[18]MYT 4th control period -revised'!$AH$12</f>
        <v>349.23116589270347</v>
      </c>
      <c r="R28" s="561">
        <f t="shared" si="4"/>
        <v>256.7580571769542</v>
      </c>
      <c r="S28" s="562">
        <f t="shared" si="5"/>
        <v>735.20946081839566</v>
      </c>
      <c r="T28" s="564">
        <f>P28+P28*'[17]Consumers-7 Yr (2)'!$AE$14</f>
        <v>110421.47389620991</v>
      </c>
      <c r="U28" s="561">
        <f>Q28+Q28*'[18]MYT 4th control period -revised'!$AH$12</f>
        <v>356.58918181918852</v>
      </c>
      <c r="V28" s="561">
        <f t="shared" si="6"/>
        <v>262.1677400989584</v>
      </c>
      <c r="W28" s="562">
        <f t="shared" si="7"/>
        <v>735.20946081839554</v>
      </c>
      <c r="X28" s="564">
        <f>T28+T28*'[17]Consumers-7 Yr (2)'!$AE$14</f>
        <v>114149.89099085781</v>
      </c>
      <c r="Y28" s="561">
        <f>U28+U28*'[18]MYT 4th control period -revised'!$AH$12</f>
        <v>364.10222514202871</v>
      </c>
      <c r="Z28" s="561">
        <f t="shared" si="8"/>
        <v>267.69140062944899</v>
      </c>
      <c r="AA28" s="562">
        <f t="shared" si="9"/>
        <v>735.20946081839554</v>
      </c>
    </row>
    <row r="29" spans="1:27" s="541" customFormat="1" ht="13.5" customHeight="1" x14ac:dyDescent="0.2">
      <c r="A29" s="559">
        <v>11</v>
      </c>
      <c r="B29" s="559" t="s">
        <v>152</v>
      </c>
      <c r="C29" s="574" t="s">
        <v>36</v>
      </c>
      <c r="D29" s="563">
        <f>[14]DCB!J72</f>
        <v>74873</v>
      </c>
      <c r="E29" s="561">
        <f>[14]DCB!W72</f>
        <v>813.85211835999996</v>
      </c>
      <c r="F29" s="561">
        <f>[15]Sheet1!$Q$200</f>
        <v>413.06687244799997</v>
      </c>
      <c r="G29" s="561">
        <f t="shared" si="0"/>
        <v>507.54536743158496</v>
      </c>
      <c r="H29" s="564">
        <v>77149</v>
      </c>
      <c r="I29" s="561">
        <f>([16]DCB!$N$65)/1000000</f>
        <v>564.95210305000001</v>
      </c>
      <c r="J29" s="561">
        <v>352.81</v>
      </c>
      <c r="K29" s="562">
        <f t="shared" si="1"/>
        <v>624.49541845280157</v>
      </c>
      <c r="L29" s="564">
        <f>(H29-D29)+H29</f>
        <v>79425</v>
      </c>
      <c r="M29" s="561">
        <f t="shared" si="10"/>
        <v>1129.9042061</v>
      </c>
      <c r="N29" s="561">
        <f t="shared" si="2"/>
        <v>705.62</v>
      </c>
      <c r="O29" s="562">
        <f t="shared" si="3"/>
        <v>624.49541845280157</v>
      </c>
      <c r="P29" s="564">
        <f>L29+L29*'[17]Consumers-7 Yr (2)'!$AE$15</f>
        <v>86415.575043731078</v>
      </c>
      <c r="Q29" s="561">
        <f>M29+M29*'[18]MYT 4th control period -revised'!$AH$13</f>
        <v>1352.5549654638642</v>
      </c>
      <c r="R29" s="561">
        <f t="shared" si="4"/>
        <v>844.66437913777042</v>
      </c>
      <c r="S29" s="562">
        <f t="shared" si="5"/>
        <v>624.49541845280157</v>
      </c>
      <c r="T29" s="564">
        <f>P29+P29*'[17]Consumers-7 Yr (2)'!$AE$15</f>
        <v>94021.424112542867</v>
      </c>
      <c r="U29" s="561">
        <f>'[18]MYT 4th control period -revised'!$AK$13</f>
        <v>1619.0796748295729</v>
      </c>
      <c r="V29" s="561">
        <f t="shared" si="6"/>
        <v>1011.10783904112</v>
      </c>
      <c r="W29" s="562">
        <f t="shared" si="7"/>
        <v>624.49541845280157</v>
      </c>
      <c r="X29" s="564">
        <f>T29+T29*'[17]Consumers-7 Yr (2)'!$AE$15</f>
        <v>102296.70042324098</v>
      </c>
      <c r="Y29" s="561">
        <f>'[18]MYT 4th control period -revised'!$AL$13</f>
        <v>1938.1238177978294</v>
      </c>
      <c r="Z29" s="561">
        <f t="shared" si="8"/>
        <v>1210.3494446089969</v>
      </c>
      <c r="AA29" s="562">
        <f t="shared" si="9"/>
        <v>624.49541845280169</v>
      </c>
    </row>
    <row r="30" spans="1:27" s="541" customFormat="1" ht="15.75" customHeight="1" x14ac:dyDescent="0.2">
      <c r="A30" s="559">
        <v>12</v>
      </c>
      <c r="B30" s="559" t="s">
        <v>792</v>
      </c>
      <c r="C30" s="574" t="s">
        <v>37</v>
      </c>
      <c r="D30" s="563">
        <f>[14]DCB!J74</f>
        <v>63273</v>
      </c>
      <c r="E30" s="561">
        <f>[14]DCB!W74</f>
        <v>455.98376608000001</v>
      </c>
      <c r="F30" s="561">
        <f>[15]Sheet1!$Q$201</f>
        <v>330.01543572600002</v>
      </c>
      <c r="G30" s="561">
        <f t="shared" si="0"/>
        <v>723.74382659074865</v>
      </c>
      <c r="H30" s="564">
        <v>63952</v>
      </c>
      <c r="I30" s="561">
        <f>([16]DCB!$N$67)/1000000</f>
        <v>243.25331229</v>
      </c>
      <c r="J30" s="561">
        <v>185.83</v>
      </c>
      <c r="K30" s="562">
        <f t="shared" si="1"/>
        <v>763.93615466357369</v>
      </c>
      <c r="L30" s="564">
        <f>(H30-D30)+H30</f>
        <v>64631</v>
      </c>
      <c r="M30" s="561">
        <f t="shared" si="10"/>
        <v>486.50662457999999</v>
      </c>
      <c r="N30" s="561">
        <f t="shared" si="2"/>
        <v>371.66000000000008</v>
      </c>
      <c r="O30" s="562">
        <f t="shared" si="3"/>
        <v>763.9361546635738</v>
      </c>
      <c r="P30" s="564">
        <f>L30+L30*'[17]Consumers-7 Yr (2)'!$AE$16</f>
        <v>66312.511662442848</v>
      </c>
      <c r="Q30" s="561">
        <f>M30+M30*'[18]MYT 4th control period -revised'!$AH$14</f>
        <v>520.32229989708412</v>
      </c>
      <c r="R30" s="561">
        <f t="shared" si="4"/>
        <v>397.49301696908526</v>
      </c>
      <c r="S30" s="562">
        <f t="shared" si="5"/>
        <v>763.9361546635738</v>
      </c>
      <c r="T30" s="564">
        <f>P30+P30*'[17]Consumers-7 Yr (2)'!$AE$16</f>
        <v>68037.77139424764</v>
      </c>
      <c r="U30" s="561">
        <f>'[18]MYT 4th control period -revised'!$AK$14</f>
        <v>556.48840548454245</v>
      </c>
      <c r="V30" s="561">
        <f t="shared" si="6"/>
        <v>425.12161260072497</v>
      </c>
      <c r="W30" s="562">
        <f t="shared" si="7"/>
        <v>763.9361546635738</v>
      </c>
      <c r="X30" s="564">
        <f>T30+T30*'[17]Consumers-7 Yr (2)'!$AE$16</f>
        <v>69807.917393629483</v>
      </c>
      <c r="Y30" s="561">
        <f>'[18]MYT 4th control period -revised'!$AL$14</f>
        <v>595.16831298597208</v>
      </c>
      <c r="Z30" s="561">
        <f t="shared" si="8"/>
        <v>454.67059240010985</v>
      </c>
      <c r="AA30" s="562">
        <f t="shared" si="9"/>
        <v>763.9361546635738</v>
      </c>
    </row>
    <row r="31" spans="1:27" s="541" customFormat="1" ht="14.25" x14ac:dyDescent="0.2">
      <c r="A31" s="575">
        <v>15</v>
      </c>
      <c r="B31" s="575" t="s">
        <v>153</v>
      </c>
      <c r="C31" s="574" t="s">
        <v>38</v>
      </c>
      <c r="D31" s="563">
        <f>[14]DCB!J76+[14]DCB!J78</f>
        <v>620792</v>
      </c>
      <c r="E31" s="561">
        <f>[14]DCB!W76+[14]DCB!W78</f>
        <v>157.11645237999997</v>
      </c>
      <c r="F31" s="561">
        <v>236.79</v>
      </c>
      <c r="G31" s="561">
        <f t="shared" si="0"/>
        <v>1507.0986928046373</v>
      </c>
      <c r="H31" s="564">
        <v>654735</v>
      </c>
      <c r="I31" s="561">
        <f>([16]DCB!$N$69+[16]DCB!$N$71)/1000000</f>
        <v>69.331271629999989</v>
      </c>
      <c r="J31" s="561">
        <v>107.9</v>
      </c>
      <c r="K31" s="562">
        <f t="shared" si="1"/>
        <v>1556.2962781907368</v>
      </c>
      <c r="L31" s="564">
        <f>(H31-D31)+H31</f>
        <v>688678</v>
      </c>
      <c r="M31" s="561">
        <f t="shared" si="10"/>
        <v>138.66254325999998</v>
      </c>
      <c r="N31" s="561">
        <f t="shared" si="2"/>
        <v>215.8</v>
      </c>
      <c r="O31" s="562">
        <f t="shared" si="3"/>
        <v>1556.2962781907368</v>
      </c>
      <c r="P31" s="564">
        <f>L31+L31*'[17]Consumers-7 Yr (2)'!$AE$19</f>
        <v>773984.54081652069</v>
      </c>
      <c r="Q31" s="561">
        <f>M31+M31*'[18]MYT 4th control period -revised'!$AH$17</f>
        <v>141.01891557080046</v>
      </c>
      <c r="R31" s="561">
        <f t="shared" si="4"/>
        <v>219.46721345733047</v>
      </c>
      <c r="S31" s="562">
        <f t="shared" si="5"/>
        <v>1556.2962781907365</v>
      </c>
      <c r="T31" s="564">
        <f>P31+P31*'[17]Consumers-7 Yr (2)'!$AE$19</f>
        <v>869858.00246698793</v>
      </c>
      <c r="U31" s="561">
        <f>'[18]MYT 4th control period -revised'!$AK$17</f>
        <v>143.41533107089032</v>
      </c>
      <c r="V31" s="561">
        <f t="shared" si="6"/>
        <v>223.19674598111891</v>
      </c>
      <c r="W31" s="562">
        <f t="shared" si="7"/>
        <v>1556.2962781907365</v>
      </c>
      <c r="X31" s="564">
        <f>T31+T31*'[17]Consumers-7 Yr (2)'!$AE$19</f>
        <v>977607.30938840436</v>
      </c>
      <c r="Y31" s="561">
        <f>'[18]MYT 4th control period -revised'!$AL$17</f>
        <v>145.85247023720484</v>
      </c>
      <c r="Z31" s="561">
        <f t="shared" si="8"/>
        <v>226.98965659508707</v>
      </c>
      <c r="AA31" s="562">
        <f t="shared" si="9"/>
        <v>1556.2962781907365</v>
      </c>
    </row>
    <row r="32" spans="1:27" ht="15" thickBot="1" x14ac:dyDescent="0.25">
      <c r="A32" s="576"/>
      <c r="B32" s="576"/>
      <c r="C32" s="577"/>
      <c r="D32" s="581"/>
      <c r="E32" s="579"/>
      <c r="F32" s="582"/>
      <c r="G32" s="579"/>
      <c r="H32" s="564"/>
      <c r="I32" s="583"/>
      <c r="J32" s="583"/>
      <c r="K32" s="562"/>
      <c r="L32" s="564"/>
      <c r="M32" s="583"/>
      <c r="N32" s="583"/>
      <c r="O32" s="562"/>
      <c r="P32" s="564"/>
      <c r="Q32" s="561"/>
      <c r="R32" s="561"/>
      <c r="S32" s="562"/>
      <c r="T32" s="564"/>
      <c r="U32" s="583"/>
      <c r="V32" s="583"/>
      <c r="W32" s="562"/>
      <c r="X32" s="564"/>
      <c r="Y32" s="583"/>
      <c r="Z32" s="561"/>
      <c r="AA32" s="562"/>
    </row>
    <row r="33" spans="1:27" ht="15.75" thickBot="1" x14ac:dyDescent="0.25">
      <c r="A33" s="585"/>
      <c r="B33" s="585"/>
      <c r="C33" s="586" t="s">
        <v>396</v>
      </c>
      <c r="D33" s="588">
        <f>SUM(D10:D31)</f>
        <v>11229840</v>
      </c>
      <c r="E33" s="591">
        <f>SUM(E10:E31)</f>
        <v>17762.304230289999</v>
      </c>
      <c r="F33" s="592">
        <f>SUM(F10:F32)</f>
        <v>9784.7671056590025</v>
      </c>
      <c r="G33" s="592">
        <f>F33/E33*1000</f>
        <v>550.87262208768334</v>
      </c>
      <c r="H33" s="594">
        <f>SUM(H10:H32)</f>
        <v>11491125</v>
      </c>
      <c r="I33" s="590">
        <f>SUM(I10:I32)</f>
        <v>9130.0321698400003</v>
      </c>
      <c r="J33" s="589">
        <f>SUM(J10:J32)</f>
        <v>5493.34</v>
      </c>
      <c r="K33" s="936">
        <f>J33/I33*1000</f>
        <v>601.67805521503089</v>
      </c>
      <c r="L33" s="594">
        <f t="shared" ref="L33:Z33" si="12">SUM(L10:L32)</f>
        <v>11751634</v>
      </c>
      <c r="M33" s="590">
        <f t="shared" si="12"/>
        <v>18412.187507580002</v>
      </c>
      <c r="N33" s="589">
        <f t="shared" si="12"/>
        <v>11092.209182733599</v>
      </c>
      <c r="O33" s="936">
        <f>N33/M33*1000</f>
        <v>602.43842173381699</v>
      </c>
      <c r="P33" s="594">
        <f t="shared" si="12"/>
        <v>12321613.080325486</v>
      </c>
      <c r="Q33" s="566">
        <f t="shared" si="12"/>
        <v>19992.257401868133</v>
      </c>
      <c r="R33" s="566">
        <f t="shared" si="12"/>
        <v>11959.902546448793</v>
      </c>
      <c r="S33" s="936">
        <f>R33/Q33*1000</f>
        <v>598.2267187762011</v>
      </c>
      <c r="T33" s="594">
        <f t="shared" si="12"/>
        <v>12925050.034054905</v>
      </c>
      <c r="U33" s="590">
        <f t="shared" si="12"/>
        <v>21115.287174359593</v>
      </c>
      <c r="V33" s="589">
        <f t="shared" si="12"/>
        <v>12684.025639629232</v>
      </c>
      <c r="W33" s="936">
        <f>V33/U33*1000</f>
        <v>600.70343987703438</v>
      </c>
      <c r="X33" s="594">
        <f t="shared" si="12"/>
        <v>13564406.924952572</v>
      </c>
      <c r="Y33" s="590">
        <f t="shared" si="12"/>
        <v>22332.430439826549</v>
      </c>
      <c r="Z33" s="566">
        <f t="shared" si="12"/>
        <v>13471.656038357738</v>
      </c>
      <c r="AA33" s="936">
        <f>Z33/Y33*1000</f>
        <v>603.23286686849167</v>
      </c>
    </row>
    <row r="34" spans="1:27" s="541" customFormat="1" ht="25.5" x14ac:dyDescent="0.2">
      <c r="A34" s="595">
        <v>16</v>
      </c>
      <c r="B34" s="595" t="s">
        <v>397</v>
      </c>
      <c r="C34" s="596" t="s">
        <v>232</v>
      </c>
      <c r="D34" s="599">
        <f>[14]DCB!J12</f>
        <v>236</v>
      </c>
      <c r="E34" s="597">
        <f>[14]DCB!W12</f>
        <v>679.42793164</v>
      </c>
      <c r="F34" s="597">
        <f>[15]Sheet1!$Q$205</f>
        <v>361.55109054799999</v>
      </c>
      <c r="G34" s="597">
        <f t="shared" si="0"/>
        <v>532.14045774551778</v>
      </c>
      <c r="H34" s="564">
        <v>236</v>
      </c>
      <c r="I34" s="561">
        <f>([16]DCB!$N$8)/1000000</f>
        <v>356.92039782999996</v>
      </c>
      <c r="J34" s="561">
        <v>200.58</v>
      </c>
      <c r="K34" s="562">
        <f>(J34/I34)*1000</f>
        <v>561.97404580820739</v>
      </c>
      <c r="L34" s="564">
        <f>'[17]Consumers-7 Yr (2)'!$Z$21</f>
        <v>236</v>
      </c>
      <c r="M34" s="561">
        <f>I34*2</f>
        <v>713.84079565999991</v>
      </c>
      <c r="N34" s="561">
        <f>(K34*M34)/1000</f>
        <v>401.16</v>
      </c>
      <c r="O34" s="562">
        <f>(N34/M34)*1000</f>
        <v>561.97404580820739</v>
      </c>
      <c r="P34" s="564">
        <f>L34+L34*'[17]Consumers-7 Yr (2)'!$AE$21</f>
        <v>250.6458944063354</v>
      </c>
      <c r="Q34" s="561">
        <f>M34+M34*'[18]MYT 4th control period -revised'!$AH$20</f>
        <v>736.03349985728221</v>
      </c>
      <c r="R34" s="561">
        <f>(O34*Q34)/1000</f>
        <v>413.63172376517156</v>
      </c>
      <c r="S34" s="562">
        <f>(R34/Q34)*1000</f>
        <v>561.97404580820739</v>
      </c>
      <c r="T34" s="564">
        <f>'[17]Consumers-7 Yr (2)'!$AI$21</f>
        <v>266.20069653708407</v>
      </c>
      <c r="U34" s="561">
        <f>'[18]MYT 4th control period -revised'!$AK$20</f>
        <v>758.91615638368671</v>
      </c>
      <c r="V34" s="561">
        <f>(S34*U34)/1000</f>
        <v>426.49118283215461</v>
      </c>
      <c r="W34" s="562">
        <f t="shared" si="7"/>
        <v>561.97404580820728</v>
      </c>
      <c r="X34" s="564">
        <f>'[17]Consumers-7 Yr (2)'!$AJ$21</f>
        <v>282.72081218274116</v>
      </c>
      <c r="Y34" s="561">
        <f>U34+U34*'[18]MYT 4th control period -revised'!$AH$20</f>
        <v>782.51021527127034</v>
      </c>
      <c r="Z34" s="561">
        <f t="shared" si="8"/>
        <v>439.75043156224706</v>
      </c>
      <c r="AA34" s="562">
        <f>(Z34/Y34)*1000</f>
        <v>561.97404580820728</v>
      </c>
    </row>
    <row r="35" spans="1:27" s="541" customFormat="1" ht="23.25" customHeight="1" x14ac:dyDescent="0.2">
      <c r="A35" s="559">
        <v>17</v>
      </c>
      <c r="B35" s="559" t="s">
        <v>233</v>
      </c>
      <c r="C35" s="560" t="s">
        <v>234</v>
      </c>
      <c r="D35" s="563"/>
      <c r="E35" s="561"/>
      <c r="F35" s="561"/>
      <c r="G35" s="597"/>
      <c r="H35" s="564"/>
      <c r="I35" s="561"/>
      <c r="J35" s="561"/>
      <c r="K35" s="562"/>
      <c r="L35" s="564"/>
      <c r="M35" s="561"/>
      <c r="N35" s="561"/>
      <c r="O35" s="562"/>
      <c r="P35" s="564"/>
      <c r="Q35" s="561"/>
      <c r="R35" s="561"/>
      <c r="S35" s="562"/>
      <c r="T35" s="564"/>
      <c r="U35" s="561"/>
      <c r="V35" s="561"/>
      <c r="W35" s="562"/>
      <c r="X35" s="564"/>
      <c r="Y35" s="561"/>
      <c r="Z35" s="561"/>
      <c r="AA35" s="562"/>
    </row>
    <row r="36" spans="1:27" ht="14.25" x14ac:dyDescent="0.2">
      <c r="A36" s="600"/>
      <c r="B36" s="571" t="s">
        <v>60</v>
      </c>
      <c r="C36" s="572" t="s">
        <v>393</v>
      </c>
      <c r="D36" s="563">
        <f>[14]DCB!J13</f>
        <v>3842</v>
      </c>
      <c r="E36" s="561">
        <f>[14]DCB!W13</f>
        <v>2879.2712315799999</v>
      </c>
      <c r="F36" s="561">
        <v>2605.9899999999998</v>
      </c>
      <c r="G36" s="597">
        <f t="shared" si="0"/>
        <v>905.0866661734965</v>
      </c>
      <c r="H36" s="564">
        <v>3842</v>
      </c>
      <c r="I36" s="561">
        <f>([16]DCB!$N$10)/1000000</f>
        <v>1447.6635317400001</v>
      </c>
      <c r="J36" s="561">
        <v>1305.76</v>
      </c>
      <c r="K36" s="562">
        <f t="shared" ref="K36:K53" si="13">(J36/I36)*1000</f>
        <v>901.9775461433079</v>
      </c>
      <c r="L36" s="564">
        <f>H36</f>
        <v>3842</v>
      </c>
      <c r="M36" s="561">
        <f t="shared" ref="M36:M53" si="14">I36*2</f>
        <v>2895.3270634800001</v>
      </c>
      <c r="N36" s="561">
        <f t="shared" ref="N36:N53" si="15">(K36*M36)/1000</f>
        <v>2611.52</v>
      </c>
      <c r="O36" s="562">
        <f t="shared" ref="O36:O53" si="16">(N36/M36)*1000</f>
        <v>901.9775461433079</v>
      </c>
      <c r="P36" s="564">
        <f>L36+L36*'[17]Consumers-7 Yr (2)'!$AE$22</f>
        <v>3991.5515134929101</v>
      </c>
      <c r="Q36" s="561">
        <f>M36+M36*'[18]MYT 4th control period -revised'!$AH$22</f>
        <v>2910.0302184895208</v>
      </c>
      <c r="R36" s="561">
        <f t="shared" ref="R36:R53" si="17">(O36*Q36)/1000</f>
        <v>2624.781915676052</v>
      </c>
      <c r="S36" s="562">
        <f t="shared" ref="S36:S53" si="18">(R36/Q36)*1000</f>
        <v>901.97754614330779</v>
      </c>
      <c r="T36" s="564">
        <f>P36+P36*'[17]Consumers-7 Yr (2)'!$AE$22</f>
        <v>4146.9243844007133</v>
      </c>
      <c r="U36" s="561">
        <f>Q36+Q36*'[18]MYT 4th control period -revised'!$AH$22</f>
        <v>2924.8080395946135</v>
      </c>
      <c r="V36" s="561">
        <f t="shared" ref="V36:V53" si="19">(S36*U36)/1000</f>
        <v>2638.111178493768</v>
      </c>
      <c r="W36" s="562">
        <f t="shared" si="7"/>
        <v>901.97754614330768</v>
      </c>
      <c r="X36" s="564">
        <f>T36+T36*'[17]Consumers-7 Yr (2)'!$AE$22</f>
        <v>4308.3452115812916</v>
      </c>
      <c r="Y36" s="561">
        <f>U36+U36*'[18]MYT 4th control period -revised'!$AH$22</f>
        <v>2939.6609059673556</v>
      </c>
      <c r="Z36" s="561">
        <f t="shared" si="8"/>
        <v>2651.5081304578484</v>
      </c>
      <c r="AA36" s="562">
        <f t="shared" si="9"/>
        <v>901.97754614330779</v>
      </c>
    </row>
    <row r="37" spans="1:27" ht="25.5" x14ac:dyDescent="0.2">
      <c r="A37" s="600"/>
      <c r="B37" s="571" t="s">
        <v>20</v>
      </c>
      <c r="C37" s="572" t="s">
        <v>394</v>
      </c>
      <c r="D37" s="563">
        <f>[14]DCB!J14</f>
        <v>2801</v>
      </c>
      <c r="E37" s="561">
        <f>[14]DCB!W14+[14]DCB!W15</f>
        <v>1591.3179851499999</v>
      </c>
      <c r="F37" s="561">
        <f>[15]Sheet1!$Q$207</f>
        <v>1391.8374046060001</v>
      </c>
      <c r="G37" s="597">
        <f t="shared" si="0"/>
        <v>874.64442530937868</v>
      </c>
      <c r="H37" s="564">
        <v>3004</v>
      </c>
      <c r="I37" s="561">
        <f>([16]DCB!$N$11)/1000000</f>
        <v>973.32014633000006</v>
      </c>
      <c r="J37" s="561">
        <v>851.02</v>
      </c>
      <c r="K37" s="562">
        <f t="shared" si="13"/>
        <v>874.347462352295</v>
      </c>
      <c r="L37" s="564">
        <f>(H37-D37)+H37</f>
        <v>3207</v>
      </c>
      <c r="M37" s="561">
        <f t="shared" si="14"/>
        <v>1946.6402926600001</v>
      </c>
      <c r="N37" s="561">
        <f t="shared" si="15"/>
        <v>1702.04</v>
      </c>
      <c r="O37" s="562">
        <f t="shared" si="16"/>
        <v>874.347462352295</v>
      </c>
      <c r="P37" s="564">
        <f>L37+L37*'[17]Consumers-7 Yr (2)'!$AE$22</f>
        <v>3331.8338635532959</v>
      </c>
      <c r="Q37" s="561">
        <f>M37+M37*'[18]MYT 4th control period -revised'!$AH$22</f>
        <v>1956.525792067572</v>
      </c>
      <c r="R37" s="561">
        <f t="shared" si="17"/>
        <v>1710.6833613210956</v>
      </c>
      <c r="S37" s="562">
        <f t="shared" si="18"/>
        <v>874.34746235229511</v>
      </c>
      <c r="T37" s="564">
        <f>P37+P37*'[17]Consumers-7 Yr (2)'!$AE$22</f>
        <v>3461.5269392954419</v>
      </c>
      <c r="U37" s="561">
        <f>Q37+Q37*'[18]MYT 4th control period -revised'!$AH$22</f>
        <v>1966.4614923771317</v>
      </c>
      <c r="V37" s="561">
        <f t="shared" si="19"/>
        <v>1719.3706156734522</v>
      </c>
      <c r="W37" s="562">
        <f t="shared" si="7"/>
        <v>874.34746235229511</v>
      </c>
      <c r="X37" s="564">
        <f>T37+T37*'[17]Consumers-7 Yr (2)'!$AE$22</f>
        <v>3596.2683741648107</v>
      </c>
      <c r="Y37" s="561">
        <f>U37+U37*'[18]MYT 4th control period -revised'!$AH$22</f>
        <v>1976.4476485207219</v>
      </c>
      <c r="Z37" s="561">
        <f t="shared" si="8"/>
        <v>1728.1019859562541</v>
      </c>
      <c r="AA37" s="562">
        <f t="shared" si="9"/>
        <v>874.34746235229511</v>
      </c>
    </row>
    <row r="38" spans="1:27" ht="14.25" customHeight="1" x14ac:dyDescent="0.2">
      <c r="A38" s="600">
        <v>18</v>
      </c>
      <c r="B38" s="571" t="s">
        <v>233</v>
      </c>
      <c r="C38" s="572" t="s">
        <v>235</v>
      </c>
      <c r="D38" s="563"/>
      <c r="E38" s="601"/>
      <c r="F38" s="561"/>
      <c r="G38" s="597"/>
      <c r="H38" s="564"/>
      <c r="I38" s="561"/>
      <c r="J38" s="561"/>
      <c r="K38" s="562"/>
      <c r="L38" s="564"/>
      <c r="M38" s="561"/>
      <c r="N38" s="561"/>
      <c r="O38" s="562"/>
      <c r="P38" s="564"/>
      <c r="Q38" s="561"/>
      <c r="R38" s="561"/>
      <c r="S38" s="562"/>
      <c r="T38" s="564"/>
      <c r="U38" s="561"/>
      <c r="V38" s="561"/>
      <c r="W38" s="562"/>
      <c r="X38" s="564"/>
      <c r="Y38" s="561"/>
      <c r="Z38" s="561"/>
      <c r="AA38" s="562"/>
    </row>
    <row r="39" spans="1:27" s="541" customFormat="1" ht="14.25" customHeight="1" x14ac:dyDescent="0.2">
      <c r="A39" s="595">
        <v>19</v>
      </c>
      <c r="B39" s="559" t="s">
        <v>236</v>
      </c>
      <c r="C39" s="560" t="s">
        <v>159</v>
      </c>
      <c r="D39" s="563"/>
      <c r="E39" s="565"/>
      <c r="F39" s="561"/>
      <c r="G39" s="597"/>
      <c r="H39" s="564"/>
      <c r="I39" s="561"/>
      <c r="J39" s="561"/>
      <c r="K39" s="562"/>
      <c r="L39" s="564"/>
      <c r="M39" s="561"/>
      <c r="N39" s="561"/>
      <c r="O39" s="562"/>
      <c r="P39" s="564"/>
      <c r="Q39" s="561"/>
      <c r="R39" s="561"/>
      <c r="S39" s="562"/>
      <c r="T39" s="564"/>
      <c r="U39" s="561"/>
      <c r="V39" s="561"/>
      <c r="W39" s="562"/>
      <c r="X39" s="564"/>
      <c r="Y39" s="561"/>
      <c r="Z39" s="561"/>
      <c r="AA39" s="562"/>
    </row>
    <row r="40" spans="1:27" s="541" customFormat="1" ht="14.25" customHeight="1" x14ac:dyDescent="0.2">
      <c r="A40" s="595"/>
      <c r="B40" s="571" t="s">
        <v>21</v>
      </c>
      <c r="C40" s="572" t="s">
        <v>393</v>
      </c>
      <c r="D40" s="563">
        <f>[14]DCB!J17</f>
        <v>5642</v>
      </c>
      <c r="E40" s="561">
        <f>[14]DCB!W17</f>
        <v>2379.4336872399999</v>
      </c>
      <c r="F40" s="561">
        <f>[15]Sheet1!$Q$208</f>
        <v>2569.5096759000003</v>
      </c>
      <c r="G40" s="597">
        <f t="shared" si="0"/>
        <v>1079.8828686335348</v>
      </c>
      <c r="H40" s="564">
        <v>5846</v>
      </c>
      <c r="I40" s="561">
        <f>([16]DCB!$N$13)/1000000</f>
        <v>1272.19694768</v>
      </c>
      <c r="J40" s="561">
        <v>1381.91</v>
      </c>
      <c r="K40" s="562">
        <f t="shared" si="13"/>
        <v>1086.2390469652319</v>
      </c>
      <c r="L40" s="564">
        <f>(H40-D40)+H40</f>
        <v>6050</v>
      </c>
      <c r="M40" s="561">
        <f t="shared" si="14"/>
        <v>2544.39389536</v>
      </c>
      <c r="N40" s="561">
        <f t="shared" si="15"/>
        <v>2763.8200000000006</v>
      </c>
      <c r="O40" s="562">
        <f t="shared" si="16"/>
        <v>1086.2390469652321</v>
      </c>
      <c r="P40" s="564">
        <f>L40+L40*'[17]Consumers-7 Yr (2)'!$AE$24</f>
        <v>6341.6574795103261</v>
      </c>
      <c r="Q40" s="561">
        <f>M40</f>
        <v>2544.39389536</v>
      </c>
      <c r="R40" s="561">
        <f t="shared" si="17"/>
        <v>2763.8200000000011</v>
      </c>
      <c r="S40" s="562">
        <f t="shared" si="18"/>
        <v>1086.2390469652321</v>
      </c>
      <c r="T40" s="564">
        <f>P40+P40*'[17]Consumers-7 Yr (2)'!$AE$24</f>
        <v>6647.3751384180596</v>
      </c>
      <c r="U40" s="561">
        <f>Q40</f>
        <v>2544.39389536</v>
      </c>
      <c r="V40" s="561">
        <f t="shared" si="19"/>
        <v>2763.8200000000011</v>
      </c>
      <c r="W40" s="562">
        <f t="shared" si="7"/>
        <v>1086.2390469652321</v>
      </c>
      <c r="X40" s="564">
        <f>T40+T40*'[17]Consumers-7 Yr (2)'!$AE$24</f>
        <v>6967.8307877123762</v>
      </c>
      <c r="Y40" s="561">
        <f>U40</f>
        <v>2544.39389536</v>
      </c>
      <c r="Z40" s="561">
        <f t="shared" si="8"/>
        <v>2763.8200000000011</v>
      </c>
      <c r="AA40" s="562">
        <f t="shared" si="9"/>
        <v>1086.2390469652321</v>
      </c>
    </row>
    <row r="41" spans="1:27" s="541" customFormat="1" ht="25.5" x14ac:dyDescent="0.2">
      <c r="A41" s="595"/>
      <c r="B41" s="571" t="s">
        <v>22</v>
      </c>
      <c r="C41" s="572" t="s">
        <v>394</v>
      </c>
      <c r="D41" s="563">
        <f>[14]DCB!J18</f>
        <v>511</v>
      </c>
      <c r="E41" s="561">
        <f>[14]DCB!W18</f>
        <v>182.88677661000003</v>
      </c>
      <c r="F41" s="561">
        <f>[15]Sheet1!$Q$209</f>
        <v>152.62750155700013</v>
      </c>
      <c r="G41" s="597">
        <f t="shared" si="0"/>
        <v>834.54640289534552</v>
      </c>
      <c r="H41" s="564">
        <v>586</v>
      </c>
      <c r="I41" s="561">
        <f>([16]DCB!$N$14)/1000000</f>
        <v>98.952441659999991</v>
      </c>
      <c r="J41" s="561">
        <v>99.21</v>
      </c>
      <c r="K41" s="562">
        <f t="shared" si="13"/>
        <v>1002.6028497698416</v>
      </c>
      <c r="L41" s="564">
        <f>(H41-D41)+H41</f>
        <v>661</v>
      </c>
      <c r="M41" s="561">
        <f t="shared" si="14"/>
        <v>197.90488331999998</v>
      </c>
      <c r="N41" s="561">
        <f t="shared" si="15"/>
        <v>198.41999999999996</v>
      </c>
      <c r="O41" s="562">
        <f t="shared" si="16"/>
        <v>1002.6028497698416</v>
      </c>
      <c r="P41" s="564">
        <f>L41+L41*'[17]Consumers-7 Yr (2)'!$AE$24</f>
        <v>692.86538743079757</v>
      </c>
      <c r="Q41" s="561">
        <f>M41</f>
        <v>197.90488331999998</v>
      </c>
      <c r="R41" s="561">
        <f t="shared" si="17"/>
        <v>198.41999999999996</v>
      </c>
      <c r="S41" s="562">
        <f t="shared" si="18"/>
        <v>1002.6028497698416</v>
      </c>
      <c r="T41" s="564">
        <f>P41+P41*'[17]Consumers-7 Yr (2)'!$AE$24</f>
        <v>726.26693661063427</v>
      </c>
      <c r="U41" s="561">
        <f>Q41</f>
        <v>197.90488331999998</v>
      </c>
      <c r="V41" s="561">
        <f t="shared" si="19"/>
        <v>198.41999999999996</v>
      </c>
      <c r="W41" s="562">
        <f t="shared" si="7"/>
        <v>1002.6028497698416</v>
      </c>
      <c r="X41" s="564">
        <f>T41+T41*'[17]Consumers-7 Yr (2)'!$AE$24</f>
        <v>761.27870259138524</v>
      </c>
      <c r="Y41" s="561">
        <f>U41</f>
        <v>197.90488331999998</v>
      </c>
      <c r="Z41" s="561">
        <f t="shared" si="8"/>
        <v>198.41999999999996</v>
      </c>
      <c r="AA41" s="562">
        <f t="shared" si="9"/>
        <v>1002.6028497698416</v>
      </c>
    </row>
    <row r="42" spans="1:27" s="541" customFormat="1" ht="12" customHeight="1" x14ac:dyDescent="0.2">
      <c r="A42" s="595">
        <v>20</v>
      </c>
      <c r="B42" s="559" t="s">
        <v>666</v>
      </c>
      <c r="C42" s="572"/>
      <c r="D42" s="563"/>
      <c r="E42" s="565"/>
      <c r="F42" s="561"/>
      <c r="G42" s="597"/>
      <c r="H42" s="564"/>
      <c r="I42" s="561"/>
      <c r="J42" s="561"/>
      <c r="K42" s="562"/>
      <c r="L42" s="564"/>
      <c r="M42" s="561"/>
      <c r="N42" s="561"/>
      <c r="O42" s="562"/>
      <c r="P42" s="564"/>
      <c r="Q42" s="561"/>
      <c r="R42" s="561"/>
      <c r="S42" s="562"/>
      <c r="T42" s="564"/>
      <c r="U42" s="561"/>
      <c r="V42" s="561"/>
      <c r="W42" s="562"/>
      <c r="X42" s="564"/>
      <c r="Y42" s="561"/>
      <c r="Z42" s="561"/>
      <c r="AA42" s="562"/>
    </row>
    <row r="43" spans="1:27" s="541" customFormat="1" ht="27.75" customHeight="1" x14ac:dyDescent="0.2">
      <c r="A43" s="595"/>
      <c r="B43" s="571" t="s">
        <v>664</v>
      </c>
      <c r="C43" s="572" t="s">
        <v>949</v>
      </c>
      <c r="D43" s="563">
        <f>[14]DCB!J20</f>
        <v>255</v>
      </c>
      <c r="E43" s="561">
        <f>[14]DCB!W20</f>
        <v>150.59160473</v>
      </c>
      <c r="F43" s="561">
        <v>113.64</v>
      </c>
      <c r="G43" s="597">
        <f t="shared" si="0"/>
        <v>754.62374017295599</v>
      </c>
      <c r="H43" s="564">
        <v>269</v>
      </c>
      <c r="I43" s="561">
        <f>([16]DCB!$N$16)/1000000</f>
        <v>81.160741000000002</v>
      </c>
      <c r="J43" s="561">
        <v>64.14</v>
      </c>
      <c r="K43" s="562">
        <f t="shared" si="13"/>
        <v>790.28356825869787</v>
      </c>
      <c r="L43" s="564">
        <f t="shared" ref="L43:L53" si="20">(H43-D43)+H43</f>
        <v>283</v>
      </c>
      <c r="M43" s="561">
        <f t="shared" si="14"/>
        <v>162.321482</v>
      </c>
      <c r="N43" s="561">
        <f t="shared" si="15"/>
        <v>128.28</v>
      </c>
      <c r="O43" s="562">
        <f t="shared" si="16"/>
        <v>790.28356825869787</v>
      </c>
      <c r="P43" s="564">
        <f>L43+L43*'[17]Consumers-7 Yr (2)'!$AE$25</f>
        <v>317.6882466883315</v>
      </c>
      <c r="Q43" s="561">
        <f>M43+M43*'[18]MYT 4th control period -revised'!$AH$24</f>
        <v>181.07808471754933</v>
      </c>
      <c r="R43" s="561">
        <f t="shared" si="17"/>
        <v>143.10303492403565</v>
      </c>
      <c r="S43" s="562">
        <f t="shared" si="18"/>
        <v>790.28356825869776</v>
      </c>
      <c r="T43" s="564">
        <f>P43+P43*'[17]Consumers-7 Yr (2)'!$AE$25</f>
        <v>356.62834658624087</v>
      </c>
      <c r="U43" s="561">
        <f>Q43+Q43*'[18]MYT 4th control period -revised'!$AH$24</f>
        <v>202.00205395473148</v>
      </c>
      <c r="V43" s="561">
        <f t="shared" si="19"/>
        <v>159.63890399493118</v>
      </c>
      <c r="W43" s="562">
        <f t="shared" si="7"/>
        <v>790.28356825869776</v>
      </c>
      <c r="X43" s="564">
        <f>T43+T43*'[17]Consumers-7 Yr (2)'!$AE$25</f>
        <v>400.34146341463418</v>
      </c>
      <c r="Y43" s="561">
        <f>U43+U43*'[18]MYT 4th control period -revised'!$AH$24</f>
        <v>225.34383365926783</v>
      </c>
      <c r="Z43" s="561">
        <f t="shared" si="8"/>
        <v>178.08552894934064</v>
      </c>
      <c r="AA43" s="562">
        <f t="shared" si="9"/>
        <v>790.28356825869787</v>
      </c>
    </row>
    <row r="44" spans="1:27" s="541" customFormat="1" ht="26.25" customHeight="1" x14ac:dyDescent="0.2">
      <c r="A44" s="595"/>
      <c r="B44" s="571" t="s">
        <v>665</v>
      </c>
      <c r="C44" s="572" t="s">
        <v>950</v>
      </c>
      <c r="D44" s="563">
        <f>[14]DCB!J21</f>
        <v>421</v>
      </c>
      <c r="E44" s="561">
        <f>[14]DCB!W21</f>
        <v>161.79839788999999</v>
      </c>
      <c r="F44" s="561">
        <f>[15]Sheet1!$Q$211</f>
        <v>148.30987709599998</v>
      </c>
      <c r="G44" s="597">
        <f t="shared" si="0"/>
        <v>916.63378024811902</v>
      </c>
      <c r="H44" s="564">
        <v>446</v>
      </c>
      <c r="I44" s="561">
        <f>([16]DCB!$N$17)/1000000</f>
        <v>89.387797629999994</v>
      </c>
      <c r="J44" s="561">
        <v>83.23</v>
      </c>
      <c r="K44" s="562">
        <f t="shared" si="13"/>
        <v>931.11142915178687</v>
      </c>
      <c r="L44" s="564">
        <f t="shared" si="20"/>
        <v>471</v>
      </c>
      <c r="M44" s="561">
        <f t="shared" si="14"/>
        <v>178.77559525999999</v>
      </c>
      <c r="N44" s="561">
        <f t="shared" si="15"/>
        <v>166.46</v>
      </c>
      <c r="O44" s="562">
        <f t="shared" si="16"/>
        <v>931.11142915178687</v>
      </c>
      <c r="P44" s="564">
        <f>L44+L44*'[17]Consumers-7 Yr (2)'!$AE$25</f>
        <v>528.73202894065071</v>
      </c>
      <c r="Q44" s="561">
        <f>M44+M44*'[18]MYT 4th control period -revised'!$AH$24</f>
        <v>199.43350679807489</v>
      </c>
      <c r="R44" s="561">
        <f t="shared" si="17"/>
        <v>185.69481753550809</v>
      </c>
      <c r="S44" s="562">
        <f t="shared" si="18"/>
        <v>931.11142915178675</v>
      </c>
      <c r="T44" s="564">
        <f>P44+P44*'[17]Consumers-7 Yr (2)'!$AE$25</f>
        <v>593.54046375307234</v>
      </c>
      <c r="U44" s="561">
        <f>Q44+Q44*'[18]MYT 4th control period -revised'!$AH$24</f>
        <v>222.47848525372481</v>
      </c>
      <c r="V44" s="561">
        <f t="shared" si="19"/>
        <v>207.15226036012041</v>
      </c>
      <c r="W44" s="562">
        <f t="shared" si="7"/>
        <v>931.11142915178664</v>
      </c>
      <c r="X44" s="564">
        <f>T44+T44*'[17]Consumers-7 Yr (2)'!$AE$25</f>
        <v>666.29268292682946</v>
      </c>
      <c r="Y44" s="561">
        <f>U44+U44*'[18]MYT 4th control period -revised'!$AH$24</f>
        <v>248.18636143678157</v>
      </c>
      <c r="Z44" s="561">
        <f t="shared" si="8"/>
        <v>231.08915769338356</v>
      </c>
      <c r="AA44" s="562">
        <f t="shared" si="9"/>
        <v>931.11142915178664</v>
      </c>
    </row>
    <row r="45" spans="1:27" s="541" customFormat="1" ht="25.5" x14ac:dyDescent="0.2">
      <c r="A45" s="559">
        <v>21</v>
      </c>
      <c r="B45" s="559" t="s">
        <v>237</v>
      </c>
      <c r="C45" s="560" t="s">
        <v>239</v>
      </c>
      <c r="D45" s="563"/>
      <c r="E45" s="565"/>
      <c r="F45" s="561"/>
      <c r="G45" s="597"/>
      <c r="H45" s="564"/>
      <c r="I45" s="561"/>
      <c r="J45" s="561"/>
      <c r="K45" s="562"/>
      <c r="L45" s="564"/>
      <c r="M45" s="561"/>
      <c r="N45" s="561"/>
      <c r="O45" s="562"/>
      <c r="P45" s="564"/>
      <c r="Q45" s="561"/>
      <c r="R45" s="561"/>
      <c r="S45" s="562"/>
      <c r="T45" s="564"/>
      <c r="U45" s="561"/>
      <c r="V45" s="561"/>
      <c r="W45" s="562"/>
      <c r="X45" s="564"/>
      <c r="Y45" s="561"/>
      <c r="Z45" s="561"/>
      <c r="AA45" s="562"/>
    </row>
    <row r="46" spans="1:27" s="541" customFormat="1" ht="25.5" x14ac:dyDescent="0.2">
      <c r="A46" s="595"/>
      <c r="B46" s="571" t="s">
        <v>23</v>
      </c>
      <c r="C46" s="572" t="s">
        <v>55</v>
      </c>
      <c r="D46" s="563">
        <f>[14]DCB!J23</f>
        <v>28</v>
      </c>
      <c r="E46" s="561">
        <f>[14]DCB!W23</f>
        <v>26.047979000000002</v>
      </c>
      <c r="F46" s="561">
        <v>7.67</v>
      </c>
      <c r="G46" s="597">
        <f t="shared" si="0"/>
        <v>294.45662559847727</v>
      </c>
      <c r="H46" s="564">
        <v>31</v>
      </c>
      <c r="I46" s="561">
        <f>([16]DCB!$N$19)/1000000</f>
        <v>12.376716999999999</v>
      </c>
      <c r="J46" s="561">
        <v>4.7300000000000004</v>
      </c>
      <c r="K46" s="562">
        <f t="shared" si="13"/>
        <v>382.16919721118296</v>
      </c>
      <c r="L46" s="564">
        <f t="shared" si="20"/>
        <v>34</v>
      </c>
      <c r="M46" s="561">
        <f t="shared" si="14"/>
        <v>24.753433999999999</v>
      </c>
      <c r="N46" s="561">
        <f t="shared" si="15"/>
        <v>9.4600000000000026</v>
      </c>
      <c r="O46" s="562">
        <f t="shared" si="16"/>
        <v>382.16919721118302</v>
      </c>
      <c r="P46" s="564">
        <f>L46+L46*'[17]Consumers-7 Yr (2)'!$AE$26</f>
        <v>40.543805276187626</v>
      </c>
      <c r="Q46" s="561">
        <f>M46+M46*'[18]MYT 4th control period -revised'!$AH$25</f>
        <v>32.400663963656129</v>
      </c>
      <c r="R46" s="561">
        <f t="shared" si="17"/>
        <v>12.38253573609977</v>
      </c>
      <c r="S46" s="562">
        <f t="shared" si="18"/>
        <v>382.16919721118302</v>
      </c>
      <c r="T46" s="564">
        <f>P46+P46*'[17]Consumers-7 Yr (2)'!$AE$26</f>
        <v>48.347063125688813</v>
      </c>
      <c r="U46" s="561">
        <f>Q46+Q46*'[18]MYT 4th control period -revised'!$AH$25</f>
        <v>42.410399514094287</v>
      </c>
      <c r="V46" s="561">
        <f t="shared" si="19"/>
        <v>16.207948335706959</v>
      </c>
      <c r="W46" s="562">
        <f t="shared" si="7"/>
        <v>382.16919721118296</v>
      </c>
      <c r="X46" s="564">
        <f>T46+T46*'[17]Consumers-7 Yr (2)'!$AE$26</f>
        <v>57.652173913043484</v>
      </c>
      <c r="Y46" s="561">
        <f>U46+U46*'[18]MYT 4th control period -revised'!$AH$25</f>
        <v>55.512503970987389</v>
      </c>
      <c r="Z46" s="561">
        <f t="shared" si="8"/>
        <v>21.215169077774856</v>
      </c>
      <c r="AA46" s="562">
        <f t="shared" si="9"/>
        <v>382.16919721118296</v>
      </c>
    </row>
    <row r="47" spans="1:27" s="541" customFormat="1" ht="25.5" x14ac:dyDescent="0.2">
      <c r="A47" s="595"/>
      <c r="B47" s="602" t="s">
        <v>24</v>
      </c>
      <c r="C47" s="572" t="s">
        <v>395</v>
      </c>
      <c r="D47" s="563">
        <f>[14]DCB!J24+[14]DCB!J25</f>
        <v>3</v>
      </c>
      <c r="E47" s="561">
        <f>[14]DCB!W24+[14]DCB!W25</f>
        <v>1.853E-3</v>
      </c>
      <c r="F47" s="561">
        <f>[15]Sheet1!$Q$213</f>
        <v>2.4683069999999999E-3</v>
      </c>
      <c r="G47" s="597">
        <v>0</v>
      </c>
      <c r="H47" s="564">
        <v>4</v>
      </c>
      <c r="I47" s="561">
        <f>([16]DCB!$N$20)/1000000</f>
        <v>0.84458</v>
      </c>
      <c r="J47" s="561">
        <v>0.55000000000000004</v>
      </c>
      <c r="K47" s="562">
        <f t="shared" si="13"/>
        <v>651.21125293045066</v>
      </c>
      <c r="L47" s="564">
        <f t="shared" si="20"/>
        <v>5</v>
      </c>
      <c r="M47" s="561">
        <f t="shared" si="14"/>
        <v>1.68916</v>
      </c>
      <c r="N47" s="561">
        <f t="shared" si="15"/>
        <v>1.1000000000000001</v>
      </c>
      <c r="O47" s="562">
        <f t="shared" si="16"/>
        <v>651.21125293045066</v>
      </c>
      <c r="P47" s="564">
        <f>L47+L47*'[17]Consumers-7 Yr (2)'!$AE$26</f>
        <v>5.9623243053217099</v>
      </c>
      <c r="Q47" s="561">
        <f>M47+M47*'[18]MYT 4th control period -revised'!$AH$25</f>
        <v>2.2110025437621861</v>
      </c>
      <c r="R47" s="561">
        <f t="shared" si="17"/>
        <v>1.4398297367557868</v>
      </c>
      <c r="S47" s="562">
        <f t="shared" si="18"/>
        <v>651.21125293045066</v>
      </c>
      <c r="T47" s="564">
        <f>P47+P47*'[17]Consumers-7 Yr (2)'!$AE$26</f>
        <v>7.1098622243660028</v>
      </c>
      <c r="U47" s="561">
        <f>Q47+Q47*'[18]MYT 4th control period -revised'!$AH$25</f>
        <v>2.8940611005013483</v>
      </c>
      <c r="V47" s="561">
        <f t="shared" si="19"/>
        <v>1.8846451553147618</v>
      </c>
      <c r="W47" s="562">
        <f t="shared" si="7"/>
        <v>651.21125293045066</v>
      </c>
      <c r="X47" s="564">
        <f>T47+T47*'[17]Consumers-7 Yr (2)'!$AE$26</f>
        <v>8.4782608695652186</v>
      </c>
      <c r="Y47" s="561">
        <f>U47+U47*'[18]MYT 4th control period -revised'!$AH$25</f>
        <v>3.7881411204454718</v>
      </c>
      <c r="Z47" s="561">
        <f t="shared" si="8"/>
        <v>2.4668801253226569</v>
      </c>
      <c r="AA47" s="562">
        <f t="shared" si="9"/>
        <v>651.21125293045066</v>
      </c>
    </row>
    <row r="48" spans="1:27" s="541" customFormat="1" ht="23.25" customHeight="1" x14ac:dyDescent="0.2">
      <c r="A48" s="595">
        <v>22</v>
      </c>
      <c r="B48" s="559" t="s">
        <v>240</v>
      </c>
      <c r="C48" s="560" t="s">
        <v>241</v>
      </c>
      <c r="D48" s="563">
        <f>[14]DCB!J28</f>
        <v>13</v>
      </c>
      <c r="E48" s="561">
        <f>[14]DCB!W28</f>
        <v>0.70584000000000002</v>
      </c>
      <c r="F48" s="561">
        <f>[15]Sheet1!$Q$215</f>
        <v>0.37441159500000004</v>
      </c>
      <c r="G48" s="597">
        <f t="shared" si="0"/>
        <v>530.44825314518869</v>
      </c>
      <c r="H48" s="564">
        <v>13</v>
      </c>
      <c r="I48" s="561">
        <f>([16]DCB!$N$23)/1000000</f>
        <v>0.50543649999999996</v>
      </c>
      <c r="J48" s="561">
        <v>0.26</v>
      </c>
      <c r="K48" s="562">
        <f t="shared" si="13"/>
        <v>514.40685427348444</v>
      </c>
      <c r="L48" s="564">
        <f t="shared" si="20"/>
        <v>13</v>
      </c>
      <c r="M48" s="561">
        <f t="shared" si="14"/>
        <v>1.0108729999999999</v>
      </c>
      <c r="N48" s="561">
        <f t="shared" si="15"/>
        <v>0.52</v>
      </c>
      <c r="O48" s="562">
        <f t="shared" si="16"/>
        <v>514.40685427348444</v>
      </c>
      <c r="P48" s="564">
        <f>L48+L48*'[17]Consumers-7 Yr (2)'!$AE$27</f>
        <v>13.744435514503605</v>
      </c>
      <c r="Q48" s="561">
        <f>M48+M48*'[18]MYT 4th control period -revised'!$T$26</f>
        <v>1.4477278450201176</v>
      </c>
      <c r="R48" s="561">
        <f t="shared" si="17"/>
        <v>0.74472112660092937</v>
      </c>
      <c r="S48" s="562">
        <f t="shared" si="18"/>
        <v>514.40685427348444</v>
      </c>
      <c r="T48" s="564">
        <f>P48+P48*'[17]Consumers-7 Yr (2)'!$AE$27</f>
        <v>14.531500585565229</v>
      </c>
      <c r="U48" s="561">
        <f>'[18]MYT 4th control period -revised'!$AK$26</f>
        <v>2.0733721379902263</v>
      </c>
      <c r="V48" s="561">
        <f t="shared" si="19"/>
        <v>1.0665568392418414</v>
      </c>
      <c r="W48" s="562">
        <f t="shared" si="7"/>
        <v>514.40685427348456</v>
      </c>
      <c r="X48" s="564">
        <f>T48+T48*'[17]Consumers-7 Yr (2)'!$AE$27</f>
        <v>15.36363636363636</v>
      </c>
      <c r="Y48" s="561">
        <f>'[18]MYT 4th control period -revised'!$AL$26</f>
        <v>2.9693923739751131</v>
      </c>
      <c r="Z48" s="561">
        <f t="shared" si="8"/>
        <v>1.5274757902002123</v>
      </c>
      <c r="AA48" s="562">
        <f t="shared" si="9"/>
        <v>514.40685427348456</v>
      </c>
    </row>
    <row r="49" spans="1:27" s="541" customFormat="1" ht="14.25" customHeight="1" x14ac:dyDescent="0.2">
      <c r="A49" s="559">
        <v>23</v>
      </c>
      <c r="B49" s="559" t="s">
        <v>242</v>
      </c>
      <c r="C49" s="560" t="s">
        <v>388</v>
      </c>
      <c r="D49" s="563"/>
      <c r="E49" s="565"/>
      <c r="F49" s="561"/>
      <c r="G49" s="597"/>
      <c r="H49" s="564"/>
      <c r="I49" s="561"/>
      <c r="J49" s="561"/>
      <c r="K49" s="562"/>
      <c r="L49" s="564">
        <f t="shared" si="20"/>
        <v>0</v>
      </c>
      <c r="M49" s="561"/>
      <c r="N49" s="561"/>
      <c r="O49" s="562"/>
      <c r="P49" s="564"/>
      <c r="Q49" s="561"/>
      <c r="R49" s="561"/>
      <c r="S49" s="562"/>
      <c r="T49" s="564"/>
      <c r="U49" s="561"/>
      <c r="V49" s="561"/>
      <c r="W49" s="562"/>
      <c r="X49" s="564"/>
      <c r="Y49" s="561"/>
      <c r="Z49" s="561"/>
      <c r="AA49" s="562"/>
    </row>
    <row r="50" spans="1:27" s="541" customFormat="1" ht="38.25" x14ac:dyDescent="0.2">
      <c r="A50" s="559"/>
      <c r="B50" s="571" t="s">
        <v>25</v>
      </c>
      <c r="C50" s="572" t="s">
        <v>625</v>
      </c>
      <c r="D50" s="563">
        <f>[14]DCB!J30</f>
        <v>219</v>
      </c>
      <c r="E50" s="561">
        <f>[14]DCB!W30</f>
        <v>68.853735459999996</v>
      </c>
      <c r="F50" s="561">
        <v>48.15</v>
      </c>
      <c r="G50" s="597">
        <f t="shared" si="0"/>
        <v>699.30846421502201</v>
      </c>
      <c r="H50" s="564">
        <v>222</v>
      </c>
      <c r="I50" s="561">
        <f>([16]DCB!$N$25)/1000000</f>
        <v>35.189839229999997</v>
      </c>
      <c r="J50" s="561">
        <v>24.56</v>
      </c>
      <c r="K50" s="562">
        <f t="shared" si="13"/>
        <v>697.92873560678674</v>
      </c>
      <c r="L50" s="564">
        <f t="shared" si="20"/>
        <v>225</v>
      </c>
      <c r="M50" s="561">
        <f t="shared" si="14"/>
        <v>70.379678459999994</v>
      </c>
      <c r="N50" s="561">
        <f t="shared" si="15"/>
        <v>49.12</v>
      </c>
      <c r="O50" s="562">
        <f t="shared" si="16"/>
        <v>697.92873560678674</v>
      </c>
      <c r="P50" s="564">
        <f>L50+L50*'[17]Consumers-7 Yr (2)'!$AG$28</f>
        <v>231.16438356164386</v>
      </c>
      <c r="Q50" s="561">
        <f>'[18]MYT 4th control period -revised'!$AJ$27</f>
        <v>70.379678459999994</v>
      </c>
      <c r="R50" s="561">
        <f t="shared" si="17"/>
        <v>49.12</v>
      </c>
      <c r="S50" s="562">
        <f t="shared" si="18"/>
        <v>697.92873560678674</v>
      </c>
      <c r="T50" s="564">
        <f>P50+P50*'[17]Consumers-7 Yr (2)'!$AG$28</f>
        <v>237.49765434415468</v>
      </c>
      <c r="U50" s="561">
        <f>'[18]MYT 4th control period -revised'!$AK$27</f>
        <v>70.379678459999994</v>
      </c>
      <c r="V50" s="561">
        <f t="shared" si="19"/>
        <v>49.12</v>
      </c>
      <c r="W50" s="562">
        <f t="shared" si="7"/>
        <v>697.92873560678674</v>
      </c>
      <c r="X50" s="564">
        <f>T50+T50*'[17]Consumers-7 Yr (2)'!$AG$28</f>
        <v>244.00443939467948</v>
      </c>
      <c r="Y50" s="561">
        <f>'[18]MYT 4th control period -revised'!$AL$27</f>
        <v>70.379678459999994</v>
      </c>
      <c r="Z50" s="561">
        <f t="shared" si="8"/>
        <v>49.12</v>
      </c>
      <c r="AA50" s="562">
        <f t="shared" si="9"/>
        <v>697.92873560678674</v>
      </c>
    </row>
    <row r="51" spans="1:27" s="541" customFormat="1" ht="14.25" customHeight="1" x14ac:dyDescent="0.2">
      <c r="A51" s="559"/>
      <c r="B51" s="571" t="s">
        <v>26</v>
      </c>
      <c r="C51" s="572" t="s">
        <v>273</v>
      </c>
      <c r="D51" s="563"/>
      <c r="E51" s="561"/>
      <c r="F51" s="561"/>
      <c r="G51" s="597"/>
      <c r="H51" s="564"/>
      <c r="I51" s="561"/>
      <c r="J51" s="561"/>
      <c r="K51" s="562"/>
      <c r="L51" s="564"/>
      <c r="M51" s="561"/>
      <c r="N51" s="561"/>
      <c r="O51" s="562"/>
      <c r="P51" s="564"/>
      <c r="Q51" s="561"/>
      <c r="R51" s="561"/>
      <c r="S51" s="562"/>
      <c r="T51" s="564"/>
      <c r="U51" s="561"/>
      <c r="V51" s="561"/>
      <c r="W51" s="562"/>
      <c r="X51" s="564"/>
      <c r="Y51" s="561"/>
      <c r="Z51" s="561"/>
      <c r="AA51" s="562"/>
    </row>
    <row r="52" spans="1:27" ht="14.25" customHeight="1" x14ac:dyDescent="0.2">
      <c r="A52" s="571"/>
      <c r="B52" s="571"/>
      <c r="C52" s="572"/>
      <c r="D52" s="563"/>
      <c r="E52" s="561"/>
      <c r="F52" s="561"/>
      <c r="G52" s="597"/>
      <c r="H52" s="564"/>
      <c r="I52" s="561"/>
      <c r="J52" s="561"/>
      <c r="K52" s="562"/>
      <c r="L52" s="564"/>
      <c r="M52" s="561"/>
      <c r="N52" s="561"/>
      <c r="O52" s="562"/>
      <c r="P52" s="564"/>
      <c r="Q52" s="561"/>
      <c r="R52" s="561"/>
      <c r="S52" s="562"/>
      <c r="T52" s="564"/>
      <c r="U52" s="561"/>
      <c r="V52" s="561"/>
      <c r="W52" s="562"/>
      <c r="X52" s="564"/>
      <c r="Y52" s="561"/>
      <c r="Z52" s="561"/>
      <c r="AA52" s="562"/>
    </row>
    <row r="53" spans="1:27" ht="15" customHeight="1" thickBot="1" x14ac:dyDescent="0.25">
      <c r="A53" s="576">
        <v>24</v>
      </c>
      <c r="B53" s="576" t="s">
        <v>660</v>
      </c>
      <c r="C53" s="603" t="s">
        <v>38</v>
      </c>
      <c r="D53" s="563">
        <f>[14]DCB!J32</f>
        <v>949</v>
      </c>
      <c r="E53" s="561">
        <f>[14]DCB!W32</f>
        <v>84.622027680000002</v>
      </c>
      <c r="F53" s="561">
        <v>108.43</v>
      </c>
      <c r="G53" s="597">
        <f t="shared" si="0"/>
        <v>1281.3448575119278</v>
      </c>
      <c r="H53" s="564">
        <v>1064</v>
      </c>
      <c r="I53" s="561">
        <f>([16]DCB!$N$27)/1000000</f>
        <v>42.938602109999998</v>
      </c>
      <c r="J53" s="561">
        <v>54.7</v>
      </c>
      <c r="K53" s="562">
        <f t="shared" si="13"/>
        <v>1273.9119885614741</v>
      </c>
      <c r="L53" s="564">
        <f t="shared" si="20"/>
        <v>1179</v>
      </c>
      <c r="M53" s="561">
        <f t="shared" si="14"/>
        <v>85.877204219999996</v>
      </c>
      <c r="N53" s="561">
        <f t="shared" si="15"/>
        <v>109.40000000000002</v>
      </c>
      <c r="O53" s="562">
        <f t="shared" si="16"/>
        <v>1273.9119885614743</v>
      </c>
      <c r="P53" s="564">
        <f>L53+L53*'[17]Consumers-7 Yr (2)'!$AE$29</f>
        <v>1596.3221393997414</v>
      </c>
      <c r="Q53" s="561">
        <f>M53+M53*'[18]MYT 4th control period -revised'!$AH$28</f>
        <v>87.667870823580344</v>
      </c>
      <c r="R53" s="561">
        <f t="shared" si="17"/>
        <v>111.68115165381769</v>
      </c>
      <c r="S53" s="562">
        <f t="shared" si="18"/>
        <v>1273.9119885614743</v>
      </c>
      <c r="T53" s="564">
        <f>P53+P53*'[17]Consumers-7 Yr (2)'!$AE$29</f>
        <v>2161.3607911261811</v>
      </c>
      <c r="U53" s="561">
        <f>'[18]MYT 4th control period -revised'!$AK$28</f>
        <v>89.495875471805959</v>
      </c>
      <c r="V53" s="561">
        <f t="shared" si="19"/>
        <v>114.00986869033841</v>
      </c>
      <c r="W53" s="562">
        <f t="shared" si="7"/>
        <v>1273.9119885614746</v>
      </c>
      <c r="X53" s="564">
        <f>T53+T53*'[17]Consumers-7 Yr (2)'!$AE$29</f>
        <v>2926.4021052631579</v>
      </c>
      <c r="Y53" s="561">
        <f>'[18]MYT 4th control period -revised'!$AL$28</f>
        <v>91.361996718079894</v>
      </c>
      <c r="Z53" s="561">
        <f t="shared" si="8"/>
        <v>116.38714291807608</v>
      </c>
      <c r="AA53" s="562">
        <f t="shared" si="9"/>
        <v>1273.9119885614748</v>
      </c>
    </row>
    <row r="54" spans="1:27" ht="15.75" customHeight="1" thickBot="1" x14ac:dyDescent="0.25">
      <c r="A54" s="585"/>
      <c r="B54" s="585"/>
      <c r="C54" s="586" t="s">
        <v>793</v>
      </c>
      <c r="D54" s="605">
        <f>SUM(D34:D53)</f>
        <v>14920</v>
      </c>
      <c r="E54" s="606">
        <f>SUM(E34:E53)</f>
        <v>8204.9590499799997</v>
      </c>
      <c r="F54" s="607">
        <f>SUM(F34:F53)</f>
        <v>7508.0924296090006</v>
      </c>
      <c r="G54" s="608">
        <f>F54/E54*1000</f>
        <v>915.06762969491012</v>
      </c>
      <c r="H54" s="587">
        <f t="shared" ref="H54:Z54" si="21">SUM(H34:H53)</f>
        <v>15563</v>
      </c>
      <c r="I54" s="590">
        <f t="shared" si="21"/>
        <v>4411.4571787099994</v>
      </c>
      <c r="J54" s="589">
        <f t="shared" si="21"/>
        <v>4070.6499999999996</v>
      </c>
      <c r="K54" s="593">
        <f>J54/I54*1000</f>
        <v>922.74498767555554</v>
      </c>
      <c r="L54" s="587">
        <f t="shared" si="21"/>
        <v>16206</v>
      </c>
      <c r="M54" s="590">
        <f t="shared" si="21"/>
        <v>8822.9143574199989</v>
      </c>
      <c r="N54" s="566">
        <f t="shared" si="21"/>
        <v>8141.3</v>
      </c>
      <c r="O54" s="593">
        <f>N54/M54*1000</f>
        <v>922.74498767555565</v>
      </c>
      <c r="P54" s="587">
        <f t="shared" si="21"/>
        <v>17342.711502080045</v>
      </c>
      <c r="Q54" s="590">
        <f t="shared" si="21"/>
        <v>8919.5068242460165</v>
      </c>
      <c r="R54" s="566">
        <f t="shared" si="21"/>
        <v>8215.5030914751387</v>
      </c>
      <c r="S54" s="936">
        <f>R54/Q54*1000</f>
        <v>921.07145085004299</v>
      </c>
      <c r="T54" s="587">
        <f t="shared" si="21"/>
        <v>18667.309777007205</v>
      </c>
      <c r="U54" s="590">
        <f t="shared" si="21"/>
        <v>9024.2183929282819</v>
      </c>
      <c r="V54" s="589">
        <f t="shared" si="21"/>
        <v>8295.2931603750276</v>
      </c>
      <c r="W54" s="593">
        <f>V54/U54*1000</f>
        <v>919.22566577904763</v>
      </c>
      <c r="X54" s="587">
        <f t="shared" si="21"/>
        <v>20234.978650378154</v>
      </c>
      <c r="Y54" s="590">
        <f t="shared" si="21"/>
        <v>9138.4594561788854</v>
      </c>
      <c r="Z54" s="589">
        <f t="shared" si="21"/>
        <v>8381.4919025304498</v>
      </c>
      <c r="AA54" s="593">
        <f>Z54/Y54*1000</f>
        <v>917.16683131568539</v>
      </c>
    </row>
    <row r="55" spans="1:27" ht="15.75" customHeight="1" x14ac:dyDescent="0.2">
      <c r="A55" s="600"/>
      <c r="B55" s="600"/>
      <c r="C55" s="609" t="s">
        <v>620</v>
      </c>
      <c r="D55" s="613"/>
      <c r="E55" s="612"/>
      <c r="F55" s="597"/>
      <c r="G55" s="598"/>
      <c r="H55" s="614"/>
      <c r="I55" s="610"/>
      <c r="J55" s="610"/>
      <c r="K55" s="598"/>
      <c r="L55" s="614"/>
      <c r="M55" s="610"/>
      <c r="N55" s="610"/>
      <c r="O55" s="598"/>
      <c r="P55" s="614"/>
      <c r="Q55" s="610"/>
      <c r="R55" s="610"/>
      <c r="S55" s="598"/>
      <c r="T55" s="614"/>
      <c r="U55" s="610"/>
      <c r="V55" s="610"/>
      <c r="W55" s="598"/>
      <c r="X55" s="614"/>
      <c r="Y55" s="610"/>
      <c r="Z55" s="610"/>
      <c r="AA55" s="598"/>
    </row>
    <row r="56" spans="1:27" ht="30" customHeight="1" thickBot="1" x14ac:dyDescent="0.25">
      <c r="A56" s="576"/>
      <c r="B56" s="576"/>
      <c r="C56" s="615" t="s">
        <v>789</v>
      </c>
      <c r="D56" s="578"/>
      <c r="E56" s="617"/>
      <c r="F56" s="582">
        <f>E56*5.3/10</f>
        <v>0</v>
      </c>
      <c r="G56" s="604"/>
      <c r="H56" s="937"/>
      <c r="I56" s="619"/>
      <c r="J56" s="616"/>
      <c r="K56" s="604"/>
      <c r="L56" s="618"/>
      <c r="M56" s="619"/>
      <c r="N56" s="616"/>
      <c r="O56" s="604"/>
      <c r="P56" s="618"/>
      <c r="Q56" s="619"/>
      <c r="R56" s="616"/>
      <c r="S56" s="604"/>
      <c r="T56" s="618"/>
      <c r="U56" s="619"/>
      <c r="V56" s="616"/>
      <c r="W56" s="604"/>
      <c r="X56" s="618"/>
      <c r="Y56" s="619"/>
      <c r="Z56" s="616"/>
      <c r="AA56" s="604"/>
    </row>
    <row r="57" spans="1:27" ht="15.75" customHeight="1" thickBot="1" x14ac:dyDescent="0.25">
      <c r="A57" s="620"/>
      <c r="B57" s="620"/>
      <c r="C57" s="586" t="s">
        <v>424</v>
      </c>
      <c r="D57" s="587">
        <f>D33+D54</f>
        <v>11244760</v>
      </c>
      <c r="E57" s="590">
        <f>E54+E33+E56</f>
        <v>25967.263280269999</v>
      </c>
      <c r="F57" s="590">
        <f>F54+F33+F56+F55</f>
        <v>17292.859535268002</v>
      </c>
      <c r="G57" s="593">
        <f>F57/E57*1000</f>
        <v>665.9484809247175</v>
      </c>
      <c r="H57" s="587">
        <f t="shared" ref="H57:Z57" si="22">H33+H54</f>
        <v>11506688</v>
      </c>
      <c r="I57" s="589">
        <f t="shared" si="22"/>
        <v>13541.48934855</v>
      </c>
      <c r="J57" s="589">
        <f t="shared" si="22"/>
        <v>9563.99</v>
      </c>
      <c r="K57" s="593">
        <f>J57/I57*1000</f>
        <v>706.27312504765928</v>
      </c>
      <c r="L57" s="587">
        <f t="shared" si="22"/>
        <v>11767840</v>
      </c>
      <c r="M57" s="589">
        <f t="shared" si="22"/>
        <v>27235.101865000001</v>
      </c>
      <c r="N57" s="589">
        <f t="shared" si="22"/>
        <v>19233.5091827336</v>
      </c>
      <c r="O57" s="593">
        <f>N57/M57*1000</f>
        <v>706.20294640611212</v>
      </c>
      <c r="P57" s="587">
        <f t="shared" si="22"/>
        <v>12338955.791827567</v>
      </c>
      <c r="Q57" s="589">
        <f t="shared" si="22"/>
        <v>28911.764226114152</v>
      </c>
      <c r="R57" s="589">
        <f t="shared" si="22"/>
        <v>20175.405637923934</v>
      </c>
      <c r="S57" s="593">
        <f>R57/Q57*1000</f>
        <v>697.82685968712963</v>
      </c>
      <c r="T57" s="587">
        <f t="shared" si="22"/>
        <v>12943717.343831912</v>
      </c>
      <c r="U57" s="589">
        <f t="shared" si="22"/>
        <v>30139.505567287873</v>
      </c>
      <c r="V57" s="589">
        <f t="shared" si="22"/>
        <v>20979.318800004257</v>
      </c>
      <c r="W57" s="593">
        <f>V57/U57*1000</f>
        <v>696.07375453346219</v>
      </c>
      <c r="X57" s="587">
        <f t="shared" si="22"/>
        <v>13584641.90360295</v>
      </c>
      <c r="Y57" s="589">
        <f t="shared" si="22"/>
        <v>31470.889896005436</v>
      </c>
      <c r="Z57" s="589">
        <f t="shared" si="22"/>
        <v>21853.147940888186</v>
      </c>
      <c r="AA57" s="593">
        <f>Z57/Y57*1000</f>
        <v>694.39243736358344</v>
      </c>
    </row>
    <row r="58" spans="1:27" ht="25.5" x14ac:dyDescent="0.2">
      <c r="A58" s="621"/>
      <c r="B58" s="621" t="s">
        <v>532</v>
      </c>
      <c r="C58" s="622" t="s">
        <v>389</v>
      </c>
      <c r="D58" s="623"/>
      <c r="E58" s="624"/>
      <c r="F58" s="625"/>
      <c r="G58" s="626"/>
      <c r="H58" s="614"/>
      <c r="I58" s="610"/>
      <c r="J58" s="610"/>
      <c r="K58" s="611"/>
      <c r="L58" s="614"/>
      <c r="M58" s="610"/>
      <c r="N58" s="610"/>
      <c r="O58" s="611"/>
      <c r="P58" s="614"/>
      <c r="Q58" s="610"/>
      <c r="R58" s="610"/>
      <c r="S58" s="611"/>
      <c r="T58" s="614"/>
      <c r="U58" s="610"/>
      <c r="V58" s="610"/>
      <c r="W58" s="611"/>
      <c r="X58" s="614"/>
      <c r="Y58" s="610"/>
      <c r="Z58" s="610"/>
      <c r="AA58" s="611"/>
    </row>
    <row r="59" spans="1:27" ht="14.25" x14ac:dyDescent="0.2">
      <c r="A59" s="621"/>
      <c r="B59" s="621"/>
      <c r="C59" s="938" t="s">
        <v>812</v>
      </c>
      <c r="D59" s="613"/>
      <c r="E59" s="624"/>
      <c r="F59" s="625">
        <v>328.26</v>
      </c>
      <c r="G59" s="626"/>
      <c r="H59" s="614"/>
      <c r="I59" s="610"/>
      <c r="J59" s="627"/>
      <c r="K59" s="611"/>
      <c r="L59" s="614"/>
      <c r="M59" s="610"/>
      <c r="N59" s="627">
        <v>328.26</v>
      </c>
      <c r="O59" s="611"/>
      <c r="P59" s="614"/>
      <c r="Q59" s="610"/>
      <c r="R59" s="627">
        <v>328.26</v>
      </c>
      <c r="S59" s="611"/>
      <c r="T59" s="614"/>
      <c r="U59" s="610"/>
      <c r="V59" s="627">
        <v>328.26</v>
      </c>
      <c r="W59" s="611"/>
      <c r="X59" s="614"/>
      <c r="Y59" s="610"/>
      <c r="Z59" s="627">
        <v>328.26</v>
      </c>
      <c r="AA59" s="611"/>
    </row>
    <row r="60" spans="1:27" ht="14.25" x14ac:dyDescent="0.2">
      <c r="A60" s="621"/>
      <c r="B60" s="621"/>
      <c r="C60" s="938" t="s">
        <v>813</v>
      </c>
      <c r="D60" s="613"/>
      <c r="E60" s="624"/>
      <c r="F60" s="625">
        <v>330.6</v>
      </c>
      <c r="G60" s="626"/>
      <c r="H60" s="614"/>
      <c r="I60" s="610"/>
      <c r="J60" s="627"/>
      <c r="K60" s="611"/>
      <c r="L60" s="614"/>
      <c r="M60" s="610"/>
      <c r="N60" s="627">
        <v>150</v>
      </c>
      <c r="O60" s="611"/>
      <c r="P60" s="614"/>
      <c r="Q60" s="610"/>
      <c r="R60" s="627">
        <v>150</v>
      </c>
      <c r="S60" s="611"/>
      <c r="T60" s="614"/>
      <c r="U60" s="610"/>
      <c r="V60" s="627">
        <v>150</v>
      </c>
      <c r="W60" s="611"/>
      <c r="X60" s="614"/>
      <c r="Y60" s="610"/>
      <c r="Z60" s="627">
        <v>150</v>
      </c>
      <c r="AA60" s="611"/>
    </row>
    <row r="61" spans="1:27" ht="14.25" x14ac:dyDescent="0.2">
      <c r="A61" s="621"/>
      <c r="B61" s="621"/>
      <c r="C61" s="938" t="s">
        <v>814</v>
      </c>
      <c r="D61" s="613"/>
      <c r="E61" s="624"/>
      <c r="F61" s="625">
        <v>158.80000000000001</v>
      </c>
      <c r="G61" s="626"/>
      <c r="H61" s="614"/>
      <c r="I61" s="610"/>
      <c r="J61" s="627"/>
      <c r="K61" s="611"/>
      <c r="L61" s="614"/>
      <c r="M61" s="610"/>
      <c r="N61" s="627">
        <v>158.80000000000001</v>
      </c>
      <c r="O61" s="611"/>
      <c r="P61" s="614"/>
      <c r="Q61" s="610"/>
      <c r="R61" s="627">
        <v>158.80000000000001</v>
      </c>
      <c r="S61" s="611"/>
      <c r="T61" s="614"/>
      <c r="U61" s="610"/>
      <c r="V61" s="627">
        <v>158.80000000000001</v>
      </c>
      <c r="W61" s="611"/>
      <c r="X61" s="614"/>
      <c r="Y61" s="610"/>
      <c r="Z61" s="627">
        <v>158.80000000000001</v>
      </c>
      <c r="AA61" s="611"/>
    </row>
    <row r="62" spans="1:27" ht="14.25" x14ac:dyDescent="0.2">
      <c r="A62" s="621"/>
      <c r="B62" s="621"/>
      <c r="C62" s="938" t="s">
        <v>815</v>
      </c>
      <c r="D62" s="613"/>
      <c r="E62" s="624"/>
      <c r="F62" s="625"/>
      <c r="G62" s="626"/>
      <c r="H62" s="614"/>
      <c r="I62" s="610"/>
      <c r="J62" s="627"/>
      <c r="K62" s="611"/>
      <c r="L62" s="614"/>
      <c r="M62" s="610"/>
      <c r="N62" s="627"/>
      <c r="O62" s="611"/>
      <c r="P62" s="614"/>
      <c r="Q62" s="610"/>
      <c r="R62" s="627"/>
      <c r="S62" s="611"/>
      <c r="T62" s="614"/>
      <c r="U62" s="610"/>
      <c r="V62" s="627"/>
      <c r="W62" s="611"/>
      <c r="X62" s="614"/>
      <c r="Y62" s="610"/>
      <c r="Z62" s="627"/>
      <c r="AA62" s="611"/>
    </row>
    <row r="63" spans="1:27" ht="14.25" customHeight="1" x14ac:dyDescent="0.2">
      <c r="A63" s="628"/>
      <c r="B63" s="628"/>
      <c r="C63" s="629" t="s">
        <v>867</v>
      </c>
      <c r="D63" s="630"/>
      <c r="E63" s="631"/>
      <c r="F63" s="625"/>
      <c r="G63" s="632"/>
      <c r="H63" s="554"/>
      <c r="I63" s="555"/>
      <c r="J63" s="627"/>
      <c r="K63" s="556"/>
      <c r="L63" s="554"/>
      <c r="M63" s="555"/>
      <c r="N63" s="627"/>
      <c r="O63" s="556"/>
      <c r="P63" s="554"/>
      <c r="Q63" s="555"/>
      <c r="R63" s="627"/>
      <c r="S63" s="556"/>
      <c r="T63" s="554"/>
      <c r="U63" s="555"/>
      <c r="V63" s="627"/>
      <c r="W63" s="556"/>
      <c r="X63" s="554"/>
      <c r="Y63" s="555"/>
      <c r="Z63" s="627"/>
      <c r="AA63" s="556"/>
    </row>
    <row r="64" spans="1:27" ht="15" customHeight="1" x14ac:dyDescent="0.2">
      <c r="A64" s="628"/>
      <c r="B64" s="628" t="s">
        <v>517</v>
      </c>
      <c r="C64" s="633" t="s">
        <v>390</v>
      </c>
      <c r="D64" s="630"/>
      <c r="E64" s="631"/>
      <c r="F64" s="625">
        <f>SUM(F59:F63)</f>
        <v>817.66000000000008</v>
      </c>
      <c r="G64" s="632"/>
      <c r="H64" s="554"/>
      <c r="I64" s="555"/>
      <c r="J64" s="627"/>
      <c r="K64" s="556"/>
      <c r="L64" s="554"/>
      <c r="M64" s="555"/>
      <c r="N64" s="625">
        <f>SUM(N59:N63)</f>
        <v>637.05999999999995</v>
      </c>
      <c r="O64" s="556"/>
      <c r="P64" s="554"/>
      <c r="Q64" s="555"/>
      <c r="R64" s="625">
        <f>SUM(R59:R63)</f>
        <v>637.05999999999995</v>
      </c>
      <c r="S64" s="556"/>
      <c r="T64" s="554"/>
      <c r="U64" s="555"/>
      <c r="V64" s="625">
        <f>SUM(V59:V63)</f>
        <v>637.05999999999995</v>
      </c>
      <c r="W64" s="556"/>
      <c r="X64" s="554"/>
      <c r="Y64" s="555"/>
      <c r="Z64" s="625">
        <f>SUM(Z59:Z63)</f>
        <v>637.05999999999995</v>
      </c>
      <c r="AA64" s="556"/>
    </row>
    <row r="65" spans="1:27" ht="14.25" customHeight="1" x14ac:dyDescent="0.2">
      <c r="A65" s="634"/>
      <c r="B65" s="634">
        <v>1</v>
      </c>
      <c r="C65" s="635" t="s">
        <v>391</v>
      </c>
      <c r="D65" s="630"/>
      <c r="E65" s="631"/>
      <c r="F65" s="625"/>
      <c r="G65" s="632"/>
      <c r="H65" s="554"/>
      <c r="I65" s="555"/>
      <c r="J65" s="627"/>
      <c r="K65" s="556"/>
      <c r="L65" s="554"/>
      <c r="M65" s="555"/>
      <c r="N65" s="625"/>
      <c r="O65" s="556"/>
      <c r="P65" s="554"/>
      <c r="Q65" s="555"/>
      <c r="R65" s="625"/>
      <c r="S65" s="556"/>
      <c r="T65" s="554"/>
      <c r="U65" s="555"/>
      <c r="V65" s="625"/>
      <c r="W65" s="556"/>
      <c r="X65" s="554"/>
      <c r="Y65" s="555"/>
      <c r="Z65" s="625"/>
      <c r="AA65" s="556"/>
    </row>
    <row r="66" spans="1:27" ht="14.25" customHeight="1" x14ac:dyDescent="0.2">
      <c r="A66" s="634"/>
      <c r="B66" s="634">
        <v>2</v>
      </c>
      <c r="C66" s="636" t="s">
        <v>392</v>
      </c>
      <c r="D66" s="630"/>
      <c r="E66" s="631"/>
      <c r="F66" s="625"/>
      <c r="G66" s="632"/>
      <c r="H66" s="554"/>
      <c r="I66" s="555"/>
      <c r="J66" s="627"/>
      <c r="K66" s="556"/>
      <c r="L66" s="554"/>
      <c r="M66" s="555"/>
      <c r="N66" s="625"/>
      <c r="O66" s="556"/>
      <c r="P66" s="554"/>
      <c r="Q66" s="555"/>
      <c r="R66" s="625"/>
      <c r="S66" s="556"/>
      <c r="T66" s="554"/>
      <c r="U66" s="555"/>
      <c r="V66" s="625"/>
      <c r="W66" s="556"/>
      <c r="X66" s="554"/>
      <c r="Y66" s="555"/>
      <c r="Z66" s="625"/>
      <c r="AA66" s="556"/>
    </row>
    <row r="67" spans="1:27" ht="16.5" customHeight="1" x14ac:dyDescent="0.2">
      <c r="A67" s="634"/>
      <c r="B67" s="634">
        <v>3</v>
      </c>
      <c r="C67" s="629" t="s">
        <v>415</v>
      </c>
      <c r="D67" s="630"/>
      <c r="E67" s="631"/>
      <c r="F67" s="625"/>
      <c r="G67" s="632"/>
      <c r="H67" s="554"/>
      <c r="I67" s="555"/>
      <c r="J67" s="627"/>
      <c r="K67" s="556"/>
      <c r="L67" s="554"/>
      <c r="M67" s="555"/>
      <c r="N67" s="625"/>
      <c r="O67" s="556"/>
      <c r="P67" s="554"/>
      <c r="Q67" s="555"/>
      <c r="R67" s="625"/>
      <c r="S67" s="556"/>
      <c r="T67" s="554"/>
      <c r="U67" s="555"/>
      <c r="V67" s="625"/>
      <c r="W67" s="556"/>
      <c r="X67" s="554"/>
      <c r="Y67" s="555"/>
      <c r="Z67" s="625"/>
      <c r="AA67" s="556"/>
    </row>
    <row r="68" spans="1:27" ht="14.25" customHeight="1" x14ac:dyDescent="0.2">
      <c r="A68" s="634"/>
      <c r="B68" s="634">
        <v>4</v>
      </c>
      <c r="C68" s="636" t="s">
        <v>478</v>
      </c>
      <c r="D68" s="630"/>
      <c r="E68" s="631"/>
      <c r="F68" s="625"/>
      <c r="G68" s="632"/>
      <c r="H68" s="554"/>
      <c r="I68" s="555"/>
      <c r="J68" s="627"/>
      <c r="K68" s="556"/>
      <c r="L68" s="554"/>
      <c r="M68" s="555"/>
      <c r="N68" s="625"/>
      <c r="O68" s="556"/>
      <c r="P68" s="554"/>
      <c r="Q68" s="555"/>
      <c r="R68" s="625"/>
      <c r="S68" s="556"/>
      <c r="T68" s="554"/>
      <c r="U68" s="555"/>
      <c r="V68" s="625"/>
      <c r="W68" s="556"/>
      <c r="X68" s="554"/>
      <c r="Y68" s="555"/>
      <c r="Z68" s="625"/>
      <c r="AA68" s="556"/>
    </row>
    <row r="69" spans="1:27" ht="14.25" customHeight="1" x14ac:dyDescent="0.2">
      <c r="A69" s="634"/>
      <c r="B69" s="634">
        <v>5</v>
      </c>
      <c r="C69" s="636" t="s">
        <v>16</v>
      </c>
      <c r="D69" s="630"/>
      <c r="E69" s="631"/>
      <c r="F69" s="625"/>
      <c r="G69" s="632"/>
      <c r="H69" s="554"/>
      <c r="I69" s="555"/>
      <c r="J69" s="627"/>
      <c r="K69" s="556"/>
      <c r="L69" s="554"/>
      <c r="M69" s="555"/>
      <c r="N69" s="625"/>
      <c r="O69" s="556"/>
      <c r="P69" s="554"/>
      <c r="Q69" s="555"/>
      <c r="R69" s="625"/>
      <c r="S69" s="556"/>
      <c r="T69" s="554"/>
      <c r="U69" s="555"/>
      <c r="V69" s="625"/>
      <c r="W69" s="556"/>
      <c r="X69" s="554"/>
      <c r="Y69" s="555"/>
      <c r="Z69" s="625"/>
      <c r="AA69" s="556"/>
    </row>
    <row r="70" spans="1:27" ht="14.25" customHeight="1" x14ac:dyDescent="0.2">
      <c r="A70" s="634"/>
      <c r="B70" s="634">
        <v>6</v>
      </c>
      <c r="C70" s="636" t="s">
        <v>479</v>
      </c>
      <c r="D70" s="630"/>
      <c r="E70" s="631"/>
      <c r="F70" s="597">
        <v>91.58</v>
      </c>
      <c r="G70" s="632"/>
      <c r="H70" s="554"/>
      <c r="I70" s="555"/>
      <c r="J70" s="627"/>
      <c r="K70" s="556"/>
      <c r="L70" s="554"/>
      <c r="M70" s="555"/>
      <c r="N70" s="597">
        <v>91.58</v>
      </c>
      <c r="O70" s="556"/>
      <c r="P70" s="554"/>
      <c r="Q70" s="555"/>
      <c r="R70" s="597">
        <v>91.58</v>
      </c>
      <c r="S70" s="556"/>
      <c r="T70" s="554"/>
      <c r="U70" s="555"/>
      <c r="V70" s="597">
        <v>91.58</v>
      </c>
      <c r="W70" s="556"/>
      <c r="X70" s="554"/>
      <c r="Y70" s="555"/>
      <c r="Z70" s="597">
        <v>91.58</v>
      </c>
      <c r="AA70" s="556"/>
    </row>
    <row r="71" spans="1:27" s="641" customFormat="1" ht="14.25" customHeight="1" x14ac:dyDescent="0.2">
      <c r="A71" s="634"/>
      <c r="B71" s="634">
        <v>7</v>
      </c>
      <c r="C71" s="636" t="s">
        <v>35</v>
      </c>
      <c r="D71" s="639"/>
      <c r="E71" s="631"/>
      <c r="F71" s="597"/>
      <c r="G71" s="640"/>
      <c r="H71" s="637"/>
      <c r="I71" s="555"/>
      <c r="J71" s="627"/>
      <c r="K71" s="638"/>
      <c r="L71" s="637"/>
      <c r="M71" s="555"/>
      <c r="N71" s="597"/>
      <c r="O71" s="638"/>
      <c r="P71" s="637"/>
      <c r="Q71" s="555"/>
      <c r="R71" s="597"/>
      <c r="S71" s="638"/>
      <c r="T71" s="637"/>
      <c r="U71" s="555"/>
      <c r="V71" s="597"/>
      <c r="W71" s="638"/>
      <c r="X71" s="637"/>
      <c r="Y71" s="555"/>
      <c r="Z71" s="597"/>
      <c r="AA71" s="638"/>
    </row>
    <row r="72" spans="1:27" ht="15" customHeight="1" x14ac:dyDescent="0.2">
      <c r="A72" s="634"/>
      <c r="B72" s="634"/>
      <c r="C72" s="642" t="s">
        <v>868</v>
      </c>
      <c r="D72" s="630"/>
      <c r="E72" s="631"/>
      <c r="F72" s="597">
        <f>SUM(F65:F71)</f>
        <v>91.58</v>
      </c>
      <c r="G72" s="632"/>
      <c r="H72" s="554"/>
      <c r="I72" s="555"/>
      <c r="J72" s="627"/>
      <c r="K72" s="556"/>
      <c r="L72" s="554"/>
      <c r="M72" s="555"/>
      <c r="N72" s="597">
        <f>SUM(N65:N71)</f>
        <v>91.58</v>
      </c>
      <c r="O72" s="556"/>
      <c r="P72" s="554"/>
      <c r="Q72" s="555"/>
      <c r="R72" s="597">
        <f>SUM(R65:R71)</f>
        <v>91.58</v>
      </c>
      <c r="S72" s="556"/>
      <c r="T72" s="554"/>
      <c r="U72" s="555"/>
      <c r="V72" s="597">
        <f>SUM(V65:V71)</f>
        <v>91.58</v>
      </c>
      <c r="W72" s="556"/>
      <c r="X72" s="554"/>
      <c r="Y72" s="555"/>
      <c r="Z72" s="597">
        <f>SUM(Z65:Z71)</f>
        <v>91.58</v>
      </c>
      <c r="AA72" s="556"/>
    </row>
    <row r="73" spans="1:27" ht="25.5" x14ac:dyDescent="0.2">
      <c r="A73" s="643"/>
      <c r="B73" s="643" t="s">
        <v>519</v>
      </c>
      <c r="C73" s="629" t="s">
        <v>869</v>
      </c>
      <c r="D73" s="630"/>
      <c r="E73" s="631"/>
      <c r="F73" s="644">
        <f>F72+F64+F57</f>
        <v>18202.099535268004</v>
      </c>
      <c r="G73" s="632"/>
      <c r="H73" s="554"/>
      <c r="I73" s="555"/>
      <c r="J73" s="645"/>
      <c r="K73" s="556"/>
      <c r="L73" s="554"/>
      <c r="M73" s="555"/>
      <c r="N73" s="644">
        <f>N72+N64+N57</f>
        <v>19962.149182733599</v>
      </c>
      <c r="O73" s="556"/>
      <c r="P73" s="554"/>
      <c r="Q73" s="555"/>
      <c r="R73" s="644">
        <f>R72+R64+R57</f>
        <v>20904.045637923933</v>
      </c>
      <c r="S73" s="556"/>
      <c r="T73" s="554"/>
      <c r="U73" s="555"/>
      <c r="V73" s="644">
        <f>V72+V64+V57</f>
        <v>21707.958800004257</v>
      </c>
      <c r="W73" s="556"/>
      <c r="X73" s="554"/>
      <c r="Y73" s="555"/>
      <c r="Z73" s="644">
        <f>Z72+Z64+Z57</f>
        <v>22581.787940888185</v>
      </c>
      <c r="AA73" s="556"/>
    </row>
    <row r="74" spans="1:27" ht="15" customHeight="1" x14ac:dyDescent="0.2">
      <c r="A74" s="643"/>
      <c r="B74" s="643" t="s">
        <v>151</v>
      </c>
      <c r="C74" s="636" t="s">
        <v>511</v>
      </c>
      <c r="D74" s="630"/>
      <c r="E74" s="631"/>
      <c r="F74" s="601"/>
      <c r="G74" s="632"/>
      <c r="H74" s="554"/>
      <c r="I74" s="555"/>
      <c r="J74" s="555"/>
      <c r="K74" s="556"/>
      <c r="L74" s="554"/>
      <c r="M74" s="555"/>
      <c r="N74" s="601"/>
      <c r="O74" s="556"/>
      <c r="P74" s="554"/>
      <c r="Q74" s="555"/>
      <c r="R74" s="601"/>
      <c r="S74" s="556"/>
      <c r="T74" s="554"/>
      <c r="U74" s="555"/>
      <c r="V74" s="601"/>
      <c r="W74" s="556"/>
      <c r="X74" s="554"/>
      <c r="Y74" s="555"/>
      <c r="Z74" s="601"/>
      <c r="AA74" s="556"/>
    </row>
    <row r="75" spans="1:27" ht="14.25" customHeight="1" x14ac:dyDescent="0.2">
      <c r="A75" s="634"/>
      <c r="B75" s="634">
        <v>1</v>
      </c>
      <c r="C75" s="636" t="s">
        <v>93</v>
      </c>
      <c r="D75" s="630"/>
      <c r="E75" s="631"/>
      <c r="F75" s="601"/>
      <c r="G75" s="632"/>
      <c r="H75" s="554"/>
      <c r="I75" s="555"/>
      <c r="J75" s="555"/>
      <c r="K75" s="556"/>
      <c r="L75" s="554"/>
      <c r="M75" s="555"/>
      <c r="N75" s="601"/>
      <c r="O75" s="556"/>
      <c r="P75" s="554"/>
      <c r="Q75" s="555"/>
      <c r="R75" s="601"/>
      <c r="S75" s="556"/>
      <c r="T75" s="554"/>
      <c r="U75" s="555"/>
      <c r="V75" s="601"/>
      <c r="W75" s="556"/>
      <c r="X75" s="554"/>
      <c r="Y75" s="555"/>
      <c r="Z75" s="601"/>
      <c r="AA75" s="556"/>
    </row>
    <row r="76" spans="1:27" ht="14.25" customHeight="1" x14ac:dyDescent="0.2">
      <c r="A76" s="634"/>
      <c r="B76" s="634">
        <v>2</v>
      </c>
      <c r="C76" s="636" t="s">
        <v>870</v>
      </c>
      <c r="D76" s="630"/>
      <c r="E76" s="631"/>
      <c r="F76" s="601">
        <f>41.34+41.56</f>
        <v>82.9</v>
      </c>
      <c r="G76" s="632"/>
      <c r="H76" s="554"/>
      <c r="I76" s="555"/>
      <c r="J76" s="555"/>
      <c r="K76" s="556"/>
      <c r="L76" s="554"/>
      <c r="M76" s="555"/>
      <c r="N76" s="601">
        <f>41.34+41.56</f>
        <v>82.9</v>
      </c>
      <c r="O76" s="556"/>
      <c r="P76" s="554"/>
      <c r="Q76" s="555"/>
      <c r="R76" s="601">
        <f>41.34+41.56</f>
        <v>82.9</v>
      </c>
      <c r="S76" s="556"/>
      <c r="T76" s="554"/>
      <c r="U76" s="555"/>
      <c r="V76" s="601">
        <f>41.34+41.56</f>
        <v>82.9</v>
      </c>
      <c r="W76" s="556"/>
      <c r="X76" s="554"/>
      <c r="Y76" s="555"/>
      <c r="Z76" s="601">
        <f>41.34+41.56</f>
        <v>82.9</v>
      </c>
      <c r="AA76" s="556"/>
    </row>
    <row r="77" spans="1:27" ht="15.75" customHeight="1" thickBot="1" x14ac:dyDescent="0.25">
      <c r="A77" s="646"/>
      <c r="B77" s="646">
        <v>3</v>
      </c>
      <c r="C77" s="577" t="s">
        <v>269</v>
      </c>
      <c r="D77" s="578"/>
      <c r="E77" s="647"/>
      <c r="F77" s="579">
        <v>77.14</v>
      </c>
      <c r="G77" s="580"/>
      <c r="H77" s="618"/>
      <c r="I77" s="583"/>
      <c r="J77" s="583"/>
      <c r="K77" s="584"/>
      <c r="L77" s="618"/>
      <c r="M77" s="583"/>
      <c r="N77" s="579">
        <v>77.14</v>
      </c>
      <c r="O77" s="584"/>
      <c r="P77" s="618"/>
      <c r="Q77" s="583"/>
      <c r="R77" s="579">
        <v>77.14</v>
      </c>
      <c r="S77" s="584"/>
      <c r="T77" s="618"/>
      <c r="U77" s="583"/>
      <c r="V77" s="579">
        <v>77.14</v>
      </c>
      <c r="W77" s="584"/>
      <c r="X77" s="618"/>
      <c r="Y77" s="583"/>
      <c r="Z77" s="579">
        <v>77.14</v>
      </c>
      <c r="AA77" s="584"/>
    </row>
    <row r="78" spans="1:27" ht="15.75" customHeight="1" thickBot="1" x14ac:dyDescent="0.25">
      <c r="A78" s="648"/>
      <c r="B78" s="648"/>
      <c r="C78" s="649" t="s">
        <v>419</v>
      </c>
      <c r="D78" s="654"/>
      <c r="E78" s="655"/>
      <c r="F78" s="589">
        <f>SUM(F75:F77)</f>
        <v>160.04000000000002</v>
      </c>
      <c r="G78" s="656"/>
      <c r="H78" s="650"/>
      <c r="I78" s="651"/>
      <c r="J78" s="652"/>
      <c r="K78" s="653"/>
      <c r="L78" s="650"/>
      <c r="M78" s="651"/>
      <c r="N78" s="589">
        <f>SUM(N75:N77)</f>
        <v>160.04000000000002</v>
      </c>
      <c r="O78" s="653"/>
      <c r="P78" s="650"/>
      <c r="Q78" s="651"/>
      <c r="R78" s="589">
        <f>SUM(R75:R77)</f>
        <v>160.04000000000002</v>
      </c>
      <c r="S78" s="653"/>
      <c r="T78" s="650"/>
      <c r="U78" s="651"/>
      <c r="V78" s="589">
        <f>SUM(V75:V77)</f>
        <v>160.04000000000002</v>
      </c>
      <c r="W78" s="653"/>
      <c r="X78" s="650"/>
      <c r="Y78" s="651"/>
      <c r="Z78" s="589">
        <f>SUM(Z75:Z77)</f>
        <v>160.04000000000002</v>
      </c>
      <c r="AA78" s="653"/>
    </row>
    <row r="79" spans="1:27" ht="15.75" customHeight="1" thickBot="1" x14ac:dyDescent="0.25">
      <c r="A79" s="657"/>
      <c r="B79" s="657" t="s">
        <v>179</v>
      </c>
      <c r="C79" s="658" t="s">
        <v>871</v>
      </c>
      <c r="D79" s="939">
        <f>D57</f>
        <v>11244760</v>
      </c>
      <c r="E79" s="939">
        <f>E57</f>
        <v>25967.263280269999</v>
      </c>
      <c r="F79" s="660">
        <f>F73-F78</f>
        <v>18042.059535268003</v>
      </c>
      <c r="G79" s="940">
        <f>F79/E79*1000</f>
        <v>694.80019286346635</v>
      </c>
      <c r="H79" s="650"/>
      <c r="I79" s="651"/>
      <c r="J79" s="659"/>
      <c r="K79" s="653"/>
      <c r="L79" s="939">
        <f>L57</f>
        <v>11767840</v>
      </c>
      <c r="M79" s="939">
        <f>M57</f>
        <v>27235.101865000001</v>
      </c>
      <c r="N79" s="660">
        <f>N73-N78</f>
        <v>19802.109182733599</v>
      </c>
      <c r="O79" s="940">
        <f>N79/M79*1000</f>
        <v>727.08041559342996</v>
      </c>
      <c r="P79" s="939">
        <f>P57</f>
        <v>12338955.791827567</v>
      </c>
      <c r="Q79" s="939">
        <f>Q57</f>
        <v>28911.764226114152</v>
      </c>
      <c r="R79" s="660">
        <f>R73-R78</f>
        <v>20744.005637923932</v>
      </c>
      <c r="S79" s="940">
        <f>R79/Q79*1000</f>
        <v>717.4935944997502</v>
      </c>
      <c r="T79" s="939">
        <f>T57</f>
        <v>12943717.343831912</v>
      </c>
      <c r="U79" s="939">
        <f>U57</f>
        <v>30139.505567287873</v>
      </c>
      <c r="V79" s="660">
        <f>V73-V78</f>
        <v>21547.918800004256</v>
      </c>
      <c r="W79" s="940">
        <f>V79/U79*1000</f>
        <v>714.93935930360601</v>
      </c>
      <c r="X79" s="939">
        <f>X57</f>
        <v>13584641.90360295</v>
      </c>
      <c r="Y79" s="939">
        <f>Y57</f>
        <v>31470.889896005436</v>
      </c>
      <c r="Z79" s="660">
        <f>Z73-Z78</f>
        <v>22421.747940888185</v>
      </c>
      <c r="AA79" s="940">
        <f>Z79/Y79*1000</f>
        <v>712.45992772940781</v>
      </c>
    </row>
    <row r="80" spans="1:27" ht="14.25" customHeight="1" x14ac:dyDescent="0.2">
      <c r="B80" s="1832"/>
      <c r="C80" s="1833"/>
    </row>
    <row r="81" spans="2:12" ht="14.25" customHeight="1" x14ac:dyDescent="0.2">
      <c r="B81" s="1833"/>
      <c r="C81" s="1834"/>
      <c r="J81" s="661"/>
    </row>
    <row r="82" spans="2:12" ht="14.25" customHeight="1" x14ac:dyDescent="0.2">
      <c r="B82" s="542"/>
      <c r="C82" s="542"/>
    </row>
    <row r="83" spans="2:12" x14ac:dyDescent="0.2">
      <c r="B83" s="542"/>
      <c r="C83" s="542"/>
      <c r="I83" s="543" t="s">
        <v>951</v>
      </c>
      <c r="L83" s="543">
        <v>8037</v>
      </c>
    </row>
    <row r="84" spans="2:12" x14ac:dyDescent="0.2">
      <c r="B84" s="542"/>
      <c r="C84" s="542"/>
      <c r="I84" s="543" t="s">
        <v>952</v>
      </c>
      <c r="L84" s="543">
        <f>L83/2</f>
        <v>4018.5</v>
      </c>
    </row>
    <row r="85" spans="2:12" x14ac:dyDescent="0.2">
      <c r="B85" s="542"/>
      <c r="C85" s="542"/>
    </row>
    <row r="86" spans="2:12" x14ac:dyDescent="0.2">
      <c r="B86" s="542"/>
      <c r="C86" s="542"/>
    </row>
  </sheetData>
  <mergeCells count="11">
    <mergeCell ref="T7:W7"/>
    <mergeCell ref="X7:AA7"/>
    <mergeCell ref="B80:C80"/>
    <mergeCell ref="B81:C81"/>
    <mergeCell ref="L7:O7"/>
    <mergeCell ref="A7:A8"/>
    <mergeCell ref="B7:B8"/>
    <mergeCell ref="C7:C8"/>
    <mergeCell ref="D7:G7"/>
    <mergeCell ref="H7:K7"/>
    <mergeCell ref="P7:S7"/>
  </mergeCells>
  <printOptions horizontalCentered="1"/>
  <pageMargins left="0.74803149606299202" right="0.74803149606299202" top="0.5" bottom="0.5" header="0.511811023622047" footer="0.511811023622047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opLeftCell="A70" workbookViewId="0">
      <selection sqref="A1:P92"/>
    </sheetView>
  </sheetViews>
  <sheetFormatPr defaultRowHeight="15" x14ac:dyDescent="0.25"/>
  <cols>
    <col min="1" max="1" width="50.42578125" style="1353" customWidth="1"/>
    <col min="2" max="8" width="9.140625" style="1353"/>
    <col min="9" max="9" width="10.5703125" style="1353" bestFit="1" customWidth="1"/>
    <col min="10" max="13" width="9.140625" style="1353"/>
    <col min="14" max="14" width="12.140625" style="1353" customWidth="1"/>
    <col min="15" max="16384" width="9.140625" style="1353"/>
  </cols>
  <sheetData>
    <row r="1" spans="1:16" x14ac:dyDescent="0.25">
      <c r="P1" s="1761" t="s">
        <v>1342</v>
      </c>
    </row>
    <row r="2" spans="1:16" ht="18.75" customHeight="1" x14ac:dyDescent="0.25">
      <c r="A2" s="1350"/>
      <c r="B2" s="1835" t="s">
        <v>1167</v>
      </c>
      <c r="C2" s="1835"/>
      <c r="D2" s="1835"/>
      <c r="E2" s="1835"/>
      <c r="F2" s="1835"/>
      <c r="G2" s="1835"/>
      <c r="H2" s="1351"/>
      <c r="I2" s="1836" t="s">
        <v>1168</v>
      </c>
      <c r="J2" s="1836"/>
      <c r="K2" s="1836"/>
      <c r="L2" s="1836"/>
      <c r="M2" s="1837"/>
      <c r="N2" s="1352"/>
    </row>
    <row r="3" spans="1:16" ht="60" x14ac:dyDescent="0.25">
      <c r="A3" s="1354" t="s">
        <v>958</v>
      </c>
      <c r="B3" s="1355" t="s">
        <v>1150</v>
      </c>
      <c r="C3" s="1355" t="s">
        <v>1151</v>
      </c>
      <c r="D3" s="1355" t="s">
        <v>1152</v>
      </c>
      <c r="E3" s="1838" t="s">
        <v>1153</v>
      </c>
      <c r="F3" s="1839"/>
      <c r="G3" s="1838" t="s">
        <v>1154</v>
      </c>
      <c r="H3" s="1839"/>
      <c r="I3" s="1355" t="s">
        <v>1151</v>
      </c>
      <c r="J3" s="1355" t="s">
        <v>1152</v>
      </c>
      <c r="K3" s="1838" t="s">
        <v>1153</v>
      </c>
      <c r="L3" s="1839"/>
      <c r="M3" s="1840" t="s">
        <v>1154</v>
      </c>
      <c r="N3" s="1840"/>
      <c r="O3" s="1835" t="s">
        <v>1169</v>
      </c>
      <c r="P3" s="1835"/>
    </row>
    <row r="4" spans="1:16" ht="45" x14ac:dyDescent="0.25">
      <c r="A4" s="1354"/>
      <c r="B4" s="1355"/>
      <c r="C4" s="1355"/>
      <c r="D4" s="1355" t="s">
        <v>1155</v>
      </c>
      <c r="E4" s="1355" t="s">
        <v>1156</v>
      </c>
      <c r="F4" s="1355" t="s">
        <v>1157</v>
      </c>
      <c r="G4" s="1355" t="s">
        <v>1156</v>
      </c>
      <c r="H4" s="1355" t="s">
        <v>1157</v>
      </c>
      <c r="I4" s="1355"/>
      <c r="J4" s="1355" t="s">
        <v>1155</v>
      </c>
      <c r="K4" s="1355" t="s">
        <v>1156</v>
      </c>
      <c r="L4" s="1355" t="s">
        <v>1157</v>
      </c>
      <c r="M4" s="1355" t="s">
        <v>1156</v>
      </c>
      <c r="N4" s="1355" t="s">
        <v>1157</v>
      </c>
      <c r="O4" s="1356" t="s">
        <v>1158</v>
      </c>
      <c r="P4" s="1355" t="s">
        <v>1156</v>
      </c>
    </row>
    <row r="5" spans="1:16" ht="20.25" customHeight="1" x14ac:dyDescent="0.25">
      <c r="A5" s="1357" t="s">
        <v>972</v>
      </c>
      <c r="B5" s="1358"/>
      <c r="C5" s="1358"/>
      <c r="D5" s="1358"/>
      <c r="E5" s="1358"/>
      <c r="F5" s="1358"/>
      <c r="G5" s="1358"/>
      <c r="H5" s="1358"/>
      <c r="I5" s="1358"/>
      <c r="J5" s="1358"/>
      <c r="K5" s="1358"/>
      <c r="L5" s="1358"/>
      <c r="M5" s="1359"/>
      <c r="N5" s="1359"/>
    </row>
    <row r="6" spans="1:16" ht="20.25" customHeight="1" x14ac:dyDescent="0.25">
      <c r="A6" s="1360" t="s">
        <v>973</v>
      </c>
      <c r="B6" s="1358">
        <v>66.785399999999996</v>
      </c>
      <c r="C6" s="1358">
        <v>5323.2</v>
      </c>
      <c r="D6" s="1358">
        <v>526.96</v>
      </c>
      <c r="E6" s="1358">
        <v>2012.17</v>
      </c>
      <c r="F6" s="1361">
        <f t="shared" ref="F6:F11" si="0">E6/C6*10</f>
        <v>3.7800007514277127</v>
      </c>
      <c r="G6" s="1358">
        <f t="shared" ref="G6:G11" si="1">E6+D6</f>
        <v>2539.13</v>
      </c>
      <c r="H6" s="1361">
        <f>G6/C6*10</f>
        <v>4.7699316200781485</v>
      </c>
      <c r="I6" s="1361">
        <f>'[29]Actuals apprd'!F26</f>
        <v>4190.3910130000004</v>
      </c>
      <c r="J6" s="1361">
        <f>'[29]Actuals apprd'!G26</f>
        <v>531.91013962415605</v>
      </c>
      <c r="K6" s="1361">
        <f>'[29]Actuals apprd'!H26</f>
        <v>1540.9623820959844</v>
      </c>
      <c r="L6" s="1361">
        <f t="shared" ref="L6:L12" si="2">K6/I6*10</f>
        <v>3.6773713415177762</v>
      </c>
      <c r="M6" s="1361">
        <f t="shared" ref="M6:M11" si="3">K6+J6</f>
        <v>2072.8725217201404</v>
      </c>
      <c r="N6" s="1362">
        <f t="shared" ref="N6:N12" si="4">M6/I6*10</f>
        <v>4.9467281580391749</v>
      </c>
      <c r="O6" s="1361">
        <f>C6-I6</f>
        <v>1132.8089869999994</v>
      </c>
      <c r="P6" s="1361">
        <f>G6-M6</f>
        <v>466.2574782798597</v>
      </c>
    </row>
    <row r="7" spans="1:16" ht="20.25" customHeight="1" x14ac:dyDescent="0.25">
      <c r="A7" s="1360" t="s">
        <v>974</v>
      </c>
      <c r="B7" s="1358">
        <v>66</v>
      </c>
      <c r="C7" s="1358">
        <v>941.79</v>
      </c>
      <c r="D7" s="1358">
        <v>149.9</v>
      </c>
      <c r="E7" s="1358">
        <v>337.16</v>
      </c>
      <c r="F7" s="1361">
        <f t="shared" si="0"/>
        <v>3.5799912931757616</v>
      </c>
      <c r="G7" s="1358">
        <f t="shared" si="1"/>
        <v>487.06000000000006</v>
      </c>
      <c r="H7" s="1361">
        <f t="shared" ref="H7:H12" si="5">G7/C7*10</f>
        <v>5.1716412363690427</v>
      </c>
      <c r="I7" s="1361">
        <f>'[29]Actuals apprd'!F27</f>
        <v>921.12072599999999</v>
      </c>
      <c r="J7" s="1361">
        <f>'[29]Actuals apprd'!G27</f>
        <v>160.96080000000003</v>
      </c>
      <c r="K7" s="1361">
        <f>'[29]Actuals apprd'!H27</f>
        <v>327.97947041526839</v>
      </c>
      <c r="L7" s="1361">
        <f t="shared" si="2"/>
        <v>3.5606567212913678</v>
      </c>
      <c r="M7" s="1361">
        <f t="shared" si="3"/>
        <v>488.9402704152684</v>
      </c>
      <c r="N7" s="1362">
        <f t="shared" si="4"/>
        <v>5.3081019307698041</v>
      </c>
      <c r="O7" s="1361">
        <f t="shared" ref="O7:O71" si="6">C7-I7</f>
        <v>20.669273999999973</v>
      </c>
      <c r="P7" s="1361">
        <f t="shared" ref="P7:P71" si="7">G7-M7</f>
        <v>-1.8802704152683418</v>
      </c>
    </row>
    <row r="8" spans="1:16" ht="20.25" customHeight="1" x14ac:dyDescent="0.25">
      <c r="A8" s="1360" t="s">
        <v>975</v>
      </c>
      <c r="B8" s="1358">
        <v>66</v>
      </c>
      <c r="C8" s="1358">
        <v>943.8</v>
      </c>
      <c r="D8" s="1358">
        <v>191.52</v>
      </c>
      <c r="E8" s="1358">
        <v>363.36</v>
      </c>
      <c r="F8" s="1361">
        <f t="shared" si="0"/>
        <v>3.8499682136045776</v>
      </c>
      <c r="G8" s="1358">
        <f t="shared" si="1"/>
        <v>554.88</v>
      </c>
      <c r="H8" s="1361">
        <f t="shared" si="5"/>
        <v>5.879211697393516</v>
      </c>
      <c r="I8" s="1361">
        <f>'[29]Actuals apprd'!F28</f>
        <v>372.85941000000003</v>
      </c>
      <c r="J8" s="1361">
        <f>'[29]Actuals apprd'!G28</f>
        <v>200.16517949697942</v>
      </c>
      <c r="K8" s="1361">
        <f>'[29]Actuals apprd'!H28</f>
        <v>148.0133904334001</v>
      </c>
      <c r="L8" s="1361">
        <f t="shared" si="2"/>
        <v>3.9696836518997896</v>
      </c>
      <c r="M8" s="1361">
        <f t="shared" si="3"/>
        <v>348.17856993037952</v>
      </c>
      <c r="N8" s="1362">
        <f t="shared" si="4"/>
        <v>9.3380657854492526</v>
      </c>
      <c r="O8" s="1361">
        <f t="shared" si="6"/>
        <v>570.94058999999993</v>
      </c>
      <c r="P8" s="1361">
        <f t="shared" si="7"/>
        <v>206.70143006962047</v>
      </c>
    </row>
    <row r="9" spans="1:16" ht="20.25" customHeight="1" x14ac:dyDescent="0.25">
      <c r="A9" s="1360" t="s">
        <v>976</v>
      </c>
      <c r="B9" s="1358">
        <v>66</v>
      </c>
      <c r="C9" s="1358">
        <v>858</v>
      </c>
      <c r="D9" s="1358">
        <v>303</v>
      </c>
      <c r="E9" s="1358">
        <v>320.89</v>
      </c>
      <c r="F9" s="1361">
        <f t="shared" si="0"/>
        <v>3.73997668997669</v>
      </c>
      <c r="G9" s="1358">
        <f t="shared" si="1"/>
        <v>623.89</v>
      </c>
      <c r="H9" s="1361">
        <f t="shared" si="5"/>
        <v>7.2714452214452212</v>
      </c>
      <c r="I9" s="1361">
        <f>'[29]Actuals apprd'!F29</f>
        <v>1015.98948</v>
      </c>
      <c r="J9" s="1361">
        <f>'[29]Actuals apprd'!G29</f>
        <v>304.33260003799995</v>
      </c>
      <c r="K9" s="1361">
        <f>'[29]Actuals apprd'!H29</f>
        <v>373.55651903240005</v>
      </c>
      <c r="L9" s="1361">
        <f t="shared" si="2"/>
        <v>3.6767754626002631</v>
      </c>
      <c r="M9" s="1361">
        <f t="shared" si="3"/>
        <v>677.88911907040006</v>
      </c>
      <c r="N9" s="1362">
        <f t="shared" si="4"/>
        <v>6.6722060849527693</v>
      </c>
      <c r="O9" s="1361">
        <f t="shared" si="6"/>
        <v>-157.98947999999996</v>
      </c>
      <c r="P9" s="1361">
        <f t="shared" si="7"/>
        <v>-53.99911907040007</v>
      </c>
    </row>
    <row r="10" spans="1:16" ht="20.25" customHeight="1" x14ac:dyDescent="0.25">
      <c r="A10" s="1360" t="s">
        <v>977</v>
      </c>
      <c r="B10" s="1358">
        <v>66</v>
      </c>
      <c r="C10" s="1358">
        <v>924</v>
      </c>
      <c r="D10" s="1358">
        <v>404.73</v>
      </c>
      <c r="E10" s="1358">
        <v>317.86</v>
      </c>
      <c r="F10" s="1361">
        <f t="shared" si="0"/>
        <v>3.4400432900432905</v>
      </c>
      <c r="G10" s="1358">
        <f t="shared" si="1"/>
        <v>722.59</v>
      </c>
      <c r="H10" s="1361">
        <f t="shared" si="5"/>
        <v>7.8202380952380954</v>
      </c>
      <c r="I10" s="1361">
        <f>'[29]Actuals apprd'!F30</f>
        <v>1089.630365</v>
      </c>
      <c r="J10" s="1361">
        <f>'[29]Actuals apprd'!G30</f>
        <v>412.53779322811761</v>
      </c>
      <c r="K10" s="1361">
        <f>'[29]Actuals apprd'!H30</f>
        <v>378.22781757319996</v>
      </c>
      <c r="L10" s="1361">
        <f t="shared" si="2"/>
        <v>3.4711570980604964</v>
      </c>
      <c r="M10" s="1361">
        <f t="shared" si="3"/>
        <v>790.76561080131751</v>
      </c>
      <c r="N10" s="1362">
        <f t="shared" si="4"/>
        <v>7.2571913944534527</v>
      </c>
      <c r="O10" s="1361">
        <f t="shared" si="6"/>
        <v>-165.63036499999998</v>
      </c>
      <c r="P10" s="1361">
        <f t="shared" si="7"/>
        <v>-68.175610801317475</v>
      </c>
    </row>
    <row r="11" spans="1:16" ht="20.25" customHeight="1" x14ac:dyDescent="0.25">
      <c r="A11" s="1360" t="s">
        <v>978</v>
      </c>
      <c r="B11" s="1358">
        <v>66</v>
      </c>
      <c r="C11" s="1358">
        <v>1037.28</v>
      </c>
      <c r="D11" s="1358">
        <v>486</v>
      </c>
      <c r="E11" s="1358">
        <v>322.58999999999997</v>
      </c>
      <c r="F11" s="1361">
        <f t="shared" si="0"/>
        <v>3.1099606663581674</v>
      </c>
      <c r="G11" s="1358">
        <f t="shared" si="1"/>
        <v>808.58999999999992</v>
      </c>
      <c r="H11" s="1361">
        <f t="shared" si="5"/>
        <v>7.7952915316982878</v>
      </c>
      <c r="I11" s="1361">
        <f>'[29]Actuals apprd'!F32</f>
        <v>276.50040000000001</v>
      </c>
      <c r="J11" s="1361">
        <f>'[29]Actuals apprd'!G32</f>
        <v>67.17</v>
      </c>
      <c r="K11" s="1361">
        <f>'[29]Actuals apprd'!H32</f>
        <v>104.08</v>
      </c>
      <c r="L11" s="1361">
        <f t="shared" si="2"/>
        <v>3.7641898528899054</v>
      </c>
      <c r="M11" s="1361">
        <f t="shared" si="3"/>
        <v>171.25</v>
      </c>
      <c r="N11" s="1362">
        <f t="shared" si="4"/>
        <v>6.1934810944215632</v>
      </c>
      <c r="O11" s="1361">
        <f t="shared" si="6"/>
        <v>760.77959999999996</v>
      </c>
      <c r="P11" s="1361">
        <f t="shared" si="7"/>
        <v>637.33999999999992</v>
      </c>
    </row>
    <row r="12" spans="1:16" ht="20.25" customHeight="1" x14ac:dyDescent="0.25">
      <c r="A12" s="1363" t="s">
        <v>979</v>
      </c>
      <c r="B12" s="1358"/>
      <c r="C12" s="1364">
        <f>SUM(C6:C11)</f>
        <v>10028.070000000002</v>
      </c>
      <c r="D12" s="1364">
        <f t="shared" ref="D12:M12" si="8">SUM(D6:D11)</f>
        <v>2062.11</v>
      </c>
      <c r="E12" s="1364">
        <f t="shared" si="8"/>
        <v>3674.03</v>
      </c>
      <c r="F12" s="1365"/>
      <c r="G12" s="1364">
        <f t="shared" si="8"/>
        <v>5736.14</v>
      </c>
      <c r="H12" s="1365">
        <f t="shared" si="5"/>
        <v>5.7200837249839696</v>
      </c>
      <c r="I12" s="1364">
        <f t="shared" si="8"/>
        <v>7866.4913940000006</v>
      </c>
      <c r="J12" s="1364">
        <f t="shared" si="8"/>
        <v>1677.0765123872532</v>
      </c>
      <c r="K12" s="1364">
        <f t="shared" si="8"/>
        <v>2872.8195795502529</v>
      </c>
      <c r="L12" s="1365">
        <f t="shared" si="2"/>
        <v>3.6519706634922846</v>
      </c>
      <c r="M12" s="1365">
        <f t="shared" si="8"/>
        <v>4549.8960919375058</v>
      </c>
      <c r="N12" s="1366">
        <f t="shared" si="4"/>
        <v>5.7838950861979486</v>
      </c>
      <c r="O12" s="1365">
        <f t="shared" si="6"/>
        <v>2161.5786060000009</v>
      </c>
      <c r="P12" s="1365">
        <f t="shared" si="7"/>
        <v>1186.2439080624945</v>
      </c>
    </row>
    <row r="13" spans="1:16" ht="20.25" customHeight="1" x14ac:dyDescent="0.25">
      <c r="A13" s="1360" t="s">
        <v>980</v>
      </c>
      <c r="B13" s="1358"/>
      <c r="C13" s="1358"/>
      <c r="D13" s="1358"/>
      <c r="E13" s="1358"/>
      <c r="F13" s="1358"/>
      <c r="G13" s="1358"/>
      <c r="H13" s="1358"/>
      <c r="I13" s="1358"/>
      <c r="J13" s="1358"/>
      <c r="K13" s="1358"/>
      <c r="L13" s="1358"/>
      <c r="M13" s="1358"/>
      <c r="N13" s="1358"/>
      <c r="O13" s="1361"/>
      <c r="P13" s="1361"/>
    </row>
    <row r="14" spans="1:16" ht="20.25" customHeight="1" x14ac:dyDescent="0.25">
      <c r="A14" s="1360" t="s">
        <v>981</v>
      </c>
      <c r="B14" s="1358">
        <v>53.674100000000003</v>
      </c>
      <c r="C14" s="1358">
        <v>1395.53</v>
      </c>
      <c r="D14" s="1358">
        <v>99.45</v>
      </c>
      <c r="E14" s="1358">
        <v>344.7</v>
      </c>
      <c r="F14" s="1361">
        <f>E14/C14*10</f>
        <v>2.4700293078615294</v>
      </c>
      <c r="G14" s="1358">
        <f>E14+D14</f>
        <v>444.15</v>
      </c>
      <c r="H14" s="1361">
        <f>G14/C14*10</f>
        <v>3.1826617844116574</v>
      </c>
      <c r="I14" s="1361">
        <f>'[29]Actuals apprd'!F40</f>
        <v>1179.4429606152421</v>
      </c>
      <c r="J14" s="1361">
        <f>'[29]Actuals apprd'!G40</f>
        <v>115.4856511</v>
      </c>
      <c r="K14" s="1361">
        <f>'[29]Actuals apprd'!H40</f>
        <v>312.2128007</v>
      </c>
      <c r="L14" s="1361">
        <f t="shared" ref="L14:L35" si="9">K14/I14*10</f>
        <v>2.6471208114815319</v>
      </c>
      <c r="M14" s="1361">
        <f>K14+J14</f>
        <v>427.69845179999999</v>
      </c>
      <c r="N14" s="1362">
        <f>M14/I14*10</f>
        <v>3.6262749966042978</v>
      </c>
      <c r="O14" s="1361">
        <f t="shared" si="6"/>
        <v>216.08703938475787</v>
      </c>
      <c r="P14" s="1361">
        <f t="shared" si="7"/>
        <v>16.451548199999991</v>
      </c>
    </row>
    <row r="15" spans="1:16" ht="20.25" customHeight="1" x14ac:dyDescent="0.25">
      <c r="A15" s="1360" t="s">
        <v>982</v>
      </c>
      <c r="B15" s="1358">
        <v>53.674100000000003</v>
      </c>
      <c r="C15" s="1358">
        <v>418.12</v>
      </c>
      <c r="D15" s="1358">
        <v>26.25</v>
      </c>
      <c r="E15" s="1358">
        <v>101.27</v>
      </c>
      <c r="F15" s="1361">
        <f t="shared" ref="F15:F33" si="10">E15/C15*10</f>
        <v>2.4220319525495073</v>
      </c>
      <c r="G15" s="1358">
        <f t="shared" ref="G15:G31" si="11">E15+D15</f>
        <v>127.52</v>
      </c>
      <c r="H15" s="1361">
        <f t="shared" ref="H15:H33" si="12">G15/C15*10</f>
        <v>3.0498421505787809</v>
      </c>
      <c r="I15" s="1361">
        <f>'[29]Actuals apprd'!F41</f>
        <v>316.89903835933603</v>
      </c>
      <c r="J15" s="1361">
        <f>'[29]Actuals apprd'!G41</f>
        <v>33.969209499999998</v>
      </c>
      <c r="K15" s="1361">
        <f>'[29]Actuals apprd'!H41</f>
        <v>82.626446700000002</v>
      </c>
      <c r="L15" s="1361">
        <f t="shared" si="9"/>
        <v>2.6073429294003967</v>
      </c>
      <c r="M15" s="1361">
        <f>K15+J15</f>
        <v>116.59565620000001</v>
      </c>
      <c r="N15" s="1362">
        <f>M15/I15*10</f>
        <v>3.679268223836976</v>
      </c>
      <c r="O15" s="1361">
        <f t="shared" si="6"/>
        <v>101.22096164066397</v>
      </c>
      <c r="P15" s="1361">
        <f t="shared" si="7"/>
        <v>10.924343799999988</v>
      </c>
    </row>
    <row r="16" spans="1:16" ht="20.25" customHeight="1" x14ac:dyDescent="0.25">
      <c r="A16" s="1360" t="s">
        <v>983</v>
      </c>
      <c r="B16" s="1358">
        <v>53.674100000000003</v>
      </c>
      <c r="C16" s="1358">
        <v>1251.1400000000001</v>
      </c>
      <c r="D16" s="1358">
        <v>91.31</v>
      </c>
      <c r="E16" s="1358">
        <v>207.94</v>
      </c>
      <c r="F16" s="1361">
        <f t="shared" si="10"/>
        <v>1.6620042521220646</v>
      </c>
      <c r="G16" s="1358">
        <f t="shared" si="11"/>
        <v>299.25</v>
      </c>
      <c r="H16" s="1361">
        <f t="shared" si="12"/>
        <v>2.3918186613808206</v>
      </c>
      <c r="I16" s="1361">
        <f>'[29]Actuals apprd'!F42</f>
        <v>1158.7748083146651</v>
      </c>
      <c r="J16" s="1361">
        <f>'[29]Actuals apprd'!G42</f>
        <v>92.336179000000001</v>
      </c>
      <c r="K16" s="1361">
        <f>'[29]Actuals apprd'!H42</f>
        <v>239.93499560000001</v>
      </c>
      <c r="L16" s="1361">
        <f t="shared" si="9"/>
        <v>2.0705920932900166</v>
      </c>
      <c r="M16" s="1361">
        <f>K16+J16</f>
        <v>332.27117459999999</v>
      </c>
      <c r="N16" s="1362">
        <f>M16/I16*10</f>
        <v>2.8674352619320302</v>
      </c>
      <c r="O16" s="1361">
        <f t="shared" si="6"/>
        <v>92.365191685335049</v>
      </c>
      <c r="P16" s="1361">
        <f t="shared" si="7"/>
        <v>-33.021174599999995</v>
      </c>
    </row>
    <row r="17" spans="1:16" ht="20.25" customHeight="1" x14ac:dyDescent="0.25">
      <c r="A17" s="1360" t="s">
        <v>984</v>
      </c>
      <c r="B17" s="1358">
        <v>53.674100000000003</v>
      </c>
      <c r="C17" s="1358">
        <v>542.65</v>
      </c>
      <c r="D17" s="1358">
        <v>85.26</v>
      </c>
      <c r="E17" s="1358">
        <v>154.22</v>
      </c>
      <c r="F17" s="1361">
        <f t="shared" si="10"/>
        <v>2.8419791762646271</v>
      </c>
      <c r="G17" s="1358">
        <f t="shared" si="11"/>
        <v>239.48000000000002</v>
      </c>
      <c r="H17" s="1361">
        <f t="shared" si="12"/>
        <v>4.4131576522620479</v>
      </c>
      <c r="I17" s="1361">
        <f>'[29]Actuals apprd'!F43</f>
        <v>495.504501620827</v>
      </c>
      <c r="J17" s="1361">
        <f>'[29]Actuals apprd'!G43</f>
        <v>107.5102764</v>
      </c>
      <c r="K17" s="1361">
        <f>'[29]Actuals apprd'!H43</f>
        <v>168.08474509999999</v>
      </c>
      <c r="L17" s="1361">
        <f t="shared" si="9"/>
        <v>3.3921941082307834</v>
      </c>
      <c r="M17" s="1361">
        <f>K17+J17</f>
        <v>275.59502149999997</v>
      </c>
      <c r="N17" s="1362">
        <f>M17/I17*10</f>
        <v>5.5619075225050629</v>
      </c>
      <c r="O17" s="1361">
        <f t="shared" si="6"/>
        <v>47.145498379172977</v>
      </c>
      <c r="P17" s="1361">
        <f t="shared" si="7"/>
        <v>-36.115021499999955</v>
      </c>
    </row>
    <row r="18" spans="1:16" ht="32.25" customHeight="1" x14ac:dyDescent="0.25">
      <c r="A18" s="1360" t="s">
        <v>985</v>
      </c>
      <c r="B18" s="1358">
        <v>53.674100000000003</v>
      </c>
      <c r="C18" s="1358">
        <v>396.11</v>
      </c>
      <c r="D18" s="1358">
        <v>86.34</v>
      </c>
      <c r="E18" s="1358">
        <v>123.11</v>
      </c>
      <c r="F18" s="1361">
        <f t="shared" si="10"/>
        <v>3.1079750574335412</v>
      </c>
      <c r="G18" s="1358">
        <f t="shared" si="11"/>
        <v>209.45</v>
      </c>
      <c r="H18" s="1361">
        <f t="shared" si="12"/>
        <v>5.2876726161924719</v>
      </c>
      <c r="I18" s="1361">
        <f>'[29]Actuals apprd'!F54</f>
        <v>290.73517772492301</v>
      </c>
      <c r="J18" s="1361">
        <f>'[29]Actuals apprd'!G54</f>
        <v>106.1484531</v>
      </c>
      <c r="K18" s="1361">
        <f>'[29]Actuals apprd'!H54</f>
        <v>114.01052319999999</v>
      </c>
      <c r="L18" s="1361">
        <f t="shared" si="9"/>
        <v>3.9214560856433489</v>
      </c>
      <c r="M18" s="1361">
        <f>K18+J18</f>
        <v>220.15897630000001</v>
      </c>
      <c r="N18" s="1362">
        <f>M18/I18*10</f>
        <v>7.5724918471442013</v>
      </c>
      <c r="O18" s="1361">
        <f t="shared" si="6"/>
        <v>105.37482227507701</v>
      </c>
      <c r="P18" s="1361">
        <f t="shared" si="7"/>
        <v>-10.708976300000018</v>
      </c>
    </row>
    <row r="19" spans="1:16" ht="20.25" customHeight="1" x14ac:dyDescent="0.25">
      <c r="A19" s="1367" t="s">
        <v>986</v>
      </c>
      <c r="B19" s="1358">
        <v>53.674100000000003</v>
      </c>
      <c r="C19" s="1358">
        <v>439.72</v>
      </c>
      <c r="D19" s="1358">
        <v>32.39</v>
      </c>
      <c r="E19" s="1358">
        <v>113.54</v>
      </c>
      <c r="F19" s="1361">
        <f t="shared" si="10"/>
        <v>2.5820976985354314</v>
      </c>
      <c r="G19" s="1358">
        <f t="shared" si="11"/>
        <v>145.93</v>
      </c>
      <c r="H19" s="1361">
        <f t="shared" si="12"/>
        <v>3.3187028108796506</v>
      </c>
      <c r="I19" s="1361">
        <f>'[29]Actuals apprd'!F44</f>
        <v>422.30136264120353</v>
      </c>
      <c r="J19" s="1361">
        <f>'[29]Actuals apprd'!G44</f>
        <v>36.452868600000002</v>
      </c>
      <c r="K19" s="1361">
        <f>'[29]Actuals apprd'!H44+0.01</f>
        <v>113.41163450000001</v>
      </c>
      <c r="L19" s="1361">
        <f t="shared" si="9"/>
        <v>2.6855616517713443</v>
      </c>
      <c r="M19" s="1361">
        <f t="shared" ref="M19:M31" si="13">K19+J19</f>
        <v>149.86450310000001</v>
      </c>
      <c r="N19" s="1362">
        <f t="shared" ref="N19:N50" si="14">M19/I19*10</f>
        <v>3.5487572704644137</v>
      </c>
      <c r="O19" s="1361">
        <f t="shared" si="6"/>
        <v>17.418637358796502</v>
      </c>
      <c r="P19" s="1361">
        <f t="shared" si="7"/>
        <v>-3.9345031000000006</v>
      </c>
    </row>
    <row r="20" spans="1:16" ht="20.25" customHeight="1" x14ac:dyDescent="0.25">
      <c r="A20" s="1360" t="s">
        <v>987</v>
      </c>
      <c r="B20" s="1358">
        <v>53.674100000000003</v>
      </c>
      <c r="C20" s="1358">
        <v>576.04999999999995</v>
      </c>
      <c r="D20" s="1358">
        <v>43.84</v>
      </c>
      <c r="E20" s="1358">
        <v>148.74</v>
      </c>
      <c r="F20" s="1361">
        <f t="shared" si="10"/>
        <v>2.5820675288603425</v>
      </c>
      <c r="G20" s="1358">
        <f t="shared" si="11"/>
        <v>192.58</v>
      </c>
      <c r="H20" s="1361">
        <f t="shared" si="12"/>
        <v>3.3431125770332444</v>
      </c>
      <c r="I20" s="1361">
        <f>'[29]Actuals apprd'!F45</f>
        <v>540.76073456521533</v>
      </c>
      <c r="J20" s="1361">
        <f>'[29]Actuals apprd'!G45</f>
        <v>51.121735800000003</v>
      </c>
      <c r="K20" s="1361">
        <f>'[29]Actuals apprd'!H45</f>
        <v>149.23761300000001</v>
      </c>
      <c r="L20" s="1361">
        <f t="shared" si="9"/>
        <v>2.7597716228414892</v>
      </c>
      <c r="M20" s="1361">
        <f t="shared" si="13"/>
        <v>200.35934880000002</v>
      </c>
      <c r="N20" s="1362">
        <f t="shared" si="14"/>
        <v>3.705138631433619</v>
      </c>
      <c r="O20" s="1361">
        <f t="shared" si="6"/>
        <v>35.289265434784625</v>
      </c>
      <c r="P20" s="1361">
        <f t="shared" si="7"/>
        <v>-7.7793488000000082</v>
      </c>
    </row>
    <row r="21" spans="1:16" ht="20.25" customHeight="1" x14ac:dyDescent="0.25">
      <c r="A21" s="1367" t="s">
        <v>988</v>
      </c>
      <c r="B21" s="1358">
        <v>53.674100000000003</v>
      </c>
      <c r="C21" s="1358">
        <v>373.57</v>
      </c>
      <c r="D21" s="1358">
        <v>39.53</v>
      </c>
      <c r="E21" s="1358">
        <v>90.4</v>
      </c>
      <c r="F21" s="1361">
        <f t="shared" si="10"/>
        <v>2.419894531145435</v>
      </c>
      <c r="G21" s="1358">
        <f t="shared" si="11"/>
        <v>129.93</v>
      </c>
      <c r="H21" s="1361">
        <f t="shared" si="12"/>
        <v>3.4780630136252917</v>
      </c>
      <c r="I21" s="1361">
        <f>'[29]Actuals apprd'!F46</f>
        <v>370.95321220738776</v>
      </c>
      <c r="J21" s="1361">
        <f>'[29]Actuals apprd'!G46</f>
        <v>38.282114999999997</v>
      </c>
      <c r="K21" s="1361">
        <f>'[29]Actuals apprd'!H46</f>
        <v>91.414043400000011</v>
      </c>
      <c r="L21" s="1361">
        <f t="shared" si="9"/>
        <v>2.4643011676872453</v>
      </c>
      <c r="M21" s="1361">
        <f t="shared" si="13"/>
        <v>129.6961584</v>
      </c>
      <c r="N21" s="1362">
        <f t="shared" si="14"/>
        <v>3.4962942530739194</v>
      </c>
      <c r="O21" s="1361">
        <f t="shared" si="6"/>
        <v>2.6167877926122287</v>
      </c>
      <c r="P21" s="1361">
        <f t="shared" si="7"/>
        <v>0.2338416000000052</v>
      </c>
    </row>
    <row r="22" spans="1:16" ht="20.25" customHeight="1" x14ac:dyDescent="0.25">
      <c r="A22" s="1360" t="s">
        <v>989</v>
      </c>
      <c r="B22" s="1358">
        <v>53.674100000000003</v>
      </c>
      <c r="C22" s="1358">
        <v>312.38</v>
      </c>
      <c r="D22" s="1358">
        <v>75.569999999999993</v>
      </c>
      <c r="E22" s="1358">
        <v>75.599999999999994</v>
      </c>
      <c r="F22" s="1361">
        <f t="shared" si="10"/>
        <v>2.4201293296625903</v>
      </c>
      <c r="G22" s="1358">
        <f t="shared" si="11"/>
        <v>151.16999999999999</v>
      </c>
      <c r="H22" s="1361">
        <f t="shared" si="12"/>
        <v>4.8392982905435682</v>
      </c>
      <c r="I22" s="1361">
        <f>'[29]Actuals apprd'!F47</f>
        <v>177.6527789072278</v>
      </c>
      <c r="J22" s="1361">
        <f>'[29]Actuals apprd'!G47</f>
        <v>48.076420599999999</v>
      </c>
      <c r="K22" s="1361">
        <f>'[29]Actuals apprd'!H47</f>
        <v>47.276922999999996</v>
      </c>
      <c r="L22" s="1361">
        <f t="shared" si="9"/>
        <v>2.6611980567266285</v>
      </c>
      <c r="M22" s="1361">
        <f t="shared" si="13"/>
        <v>95.353343599999988</v>
      </c>
      <c r="N22" s="1362">
        <f t="shared" si="14"/>
        <v>5.3673994961708162</v>
      </c>
      <c r="O22" s="1361">
        <f t="shared" si="6"/>
        <v>134.7272210927722</v>
      </c>
      <c r="P22" s="1361">
        <f t="shared" si="7"/>
        <v>55.816656399999999</v>
      </c>
    </row>
    <row r="23" spans="1:16" ht="20.25" customHeight="1" x14ac:dyDescent="0.25">
      <c r="A23" s="1367" t="s">
        <v>990</v>
      </c>
      <c r="B23" s="1358">
        <v>53.674100000000003</v>
      </c>
      <c r="C23" s="1358">
        <v>608.27</v>
      </c>
      <c r="D23" s="1358">
        <v>100.8</v>
      </c>
      <c r="E23" s="1358">
        <v>145.56</v>
      </c>
      <c r="F23" s="1361">
        <f t="shared" si="10"/>
        <v>2.3930162592269881</v>
      </c>
      <c r="G23" s="1358">
        <f t="shared" si="11"/>
        <v>246.36</v>
      </c>
      <c r="H23" s="1361">
        <f t="shared" si="12"/>
        <v>4.0501750867213575</v>
      </c>
      <c r="I23" s="1361">
        <f>'[29]Actuals apprd'!F52</f>
        <v>489.55279189410402</v>
      </c>
      <c r="J23" s="1361">
        <f>'[29]Actuals apprd'!G52</f>
        <v>111.8621912</v>
      </c>
      <c r="K23" s="1361">
        <f>'[29]Actuals apprd'!H52</f>
        <v>165.70754679999999</v>
      </c>
      <c r="L23" s="1361">
        <f t="shared" si="9"/>
        <v>3.384875942773593</v>
      </c>
      <c r="M23" s="1361">
        <f t="shared" si="13"/>
        <v>277.56973799999997</v>
      </c>
      <c r="N23" s="1362">
        <f t="shared" si="14"/>
        <v>5.6698632424517257</v>
      </c>
      <c r="O23" s="1361">
        <f t="shared" si="6"/>
        <v>118.71720810589596</v>
      </c>
      <c r="P23" s="1361">
        <f t="shared" si="7"/>
        <v>-31.209737999999959</v>
      </c>
    </row>
    <row r="24" spans="1:16" ht="20.25" customHeight="1" x14ac:dyDescent="0.25">
      <c r="A24" s="1360" t="s">
        <v>991</v>
      </c>
      <c r="B24" s="1358">
        <v>53.674100000000003</v>
      </c>
      <c r="C24" s="1358">
        <v>108.24</v>
      </c>
      <c r="D24" s="1358"/>
      <c r="E24" s="1358">
        <v>24.35</v>
      </c>
      <c r="F24" s="1361">
        <f t="shared" si="10"/>
        <v>2.2496304508499634</v>
      </c>
      <c r="G24" s="1358">
        <f t="shared" si="11"/>
        <v>24.35</v>
      </c>
      <c r="H24" s="1361">
        <f t="shared" si="12"/>
        <v>2.2496304508499634</v>
      </c>
      <c r="I24" s="1361">
        <f>'[29]Actuals apprd'!F49</f>
        <v>65.002930523746997</v>
      </c>
      <c r="J24" s="1361"/>
      <c r="K24" s="1361">
        <f>'[29]Actuals apprd'!K49</f>
        <v>11.680857899999999</v>
      </c>
      <c r="L24" s="1361">
        <f t="shared" si="9"/>
        <v>1.7969740449982829</v>
      </c>
      <c r="M24" s="1361">
        <f t="shared" si="13"/>
        <v>11.680857899999999</v>
      </c>
      <c r="N24" s="1362">
        <f t="shared" si="14"/>
        <v>1.7969740449982829</v>
      </c>
      <c r="O24" s="1361">
        <f t="shared" si="6"/>
        <v>43.237069476252998</v>
      </c>
      <c r="P24" s="1361">
        <f t="shared" si="7"/>
        <v>12.669142100000002</v>
      </c>
    </row>
    <row r="25" spans="1:16" ht="20.25" customHeight="1" x14ac:dyDescent="0.25">
      <c r="A25" s="1360" t="s">
        <v>992</v>
      </c>
      <c r="B25" s="1358">
        <v>53.674100000000003</v>
      </c>
      <c r="C25" s="1358">
        <v>459.99</v>
      </c>
      <c r="D25" s="1358"/>
      <c r="E25" s="1358">
        <v>172.5</v>
      </c>
      <c r="F25" s="1361">
        <f t="shared" si="10"/>
        <v>3.7500815235113807</v>
      </c>
      <c r="G25" s="1358">
        <f t="shared" si="11"/>
        <v>172.5</v>
      </c>
      <c r="H25" s="1361">
        <f t="shared" si="12"/>
        <v>3.7500815235113807</v>
      </c>
      <c r="I25" s="1361">
        <f>'[29]Actuals apprd'!F50</f>
        <v>1140.5882552005332</v>
      </c>
      <c r="J25" s="1361"/>
      <c r="K25" s="1361">
        <f>'[29]Actuals apprd'!H50</f>
        <v>398.39509070000003</v>
      </c>
      <c r="L25" s="1361">
        <f t="shared" si="9"/>
        <v>3.4928913995344968</v>
      </c>
      <c r="M25" s="1361">
        <f t="shared" si="13"/>
        <v>398.39509070000003</v>
      </c>
      <c r="N25" s="1362">
        <f t="shared" si="14"/>
        <v>3.4928913995344968</v>
      </c>
      <c r="O25" s="1361">
        <f t="shared" si="6"/>
        <v>-680.59825520053323</v>
      </c>
      <c r="P25" s="1361">
        <f t="shared" si="7"/>
        <v>-225.89509070000003</v>
      </c>
    </row>
    <row r="26" spans="1:16" ht="20.25" customHeight="1" x14ac:dyDescent="0.25">
      <c r="A26" s="1360" t="s">
        <v>993</v>
      </c>
      <c r="B26" s="1358">
        <v>53.674100000000003</v>
      </c>
      <c r="C26" s="1358">
        <v>483.07</v>
      </c>
      <c r="D26" s="1358"/>
      <c r="E26" s="1358">
        <v>181.15</v>
      </c>
      <c r="F26" s="1361">
        <f t="shared" si="10"/>
        <v>3.7499741238329847</v>
      </c>
      <c r="G26" s="1358">
        <f t="shared" si="11"/>
        <v>181.15</v>
      </c>
      <c r="H26" s="1361">
        <f t="shared" si="12"/>
        <v>3.7499741238329847</v>
      </c>
      <c r="I26" s="1358"/>
      <c r="J26" s="1358"/>
      <c r="K26" s="1358"/>
      <c r="L26" s="1361"/>
      <c r="M26" s="1361">
        <f t="shared" si="13"/>
        <v>0</v>
      </c>
      <c r="N26" s="1362"/>
      <c r="O26" s="1361">
        <f t="shared" si="6"/>
        <v>483.07</v>
      </c>
      <c r="P26" s="1361">
        <f t="shared" si="7"/>
        <v>181.15</v>
      </c>
    </row>
    <row r="27" spans="1:16" ht="20.25" customHeight="1" x14ac:dyDescent="0.25">
      <c r="A27" s="1360" t="s">
        <v>994</v>
      </c>
      <c r="B27" s="1358">
        <v>53.674100000000003</v>
      </c>
      <c r="C27" s="1358">
        <v>508.52</v>
      </c>
      <c r="D27" s="1358"/>
      <c r="E27" s="1358">
        <v>213.58</v>
      </c>
      <c r="F27" s="1361">
        <f t="shared" si="10"/>
        <v>4.200031463855896</v>
      </c>
      <c r="G27" s="1358">
        <f t="shared" si="11"/>
        <v>213.58</v>
      </c>
      <c r="H27" s="1361">
        <f t="shared" si="12"/>
        <v>4.200031463855896</v>
      </c>
      <c r="I27" s="1361">
        <f>'[29]Actuals apprd'!F58</f>
        <v>1251.980911165025</v>
      </c>
      <c r="J27" s="1358"/>
      <c r="K27" s="1361">
        <f>'[29]Actuals apprd'!K58</f>
        <v>512.78779899999995</v>
      </c>
      <c r="L27" s="1361">
        <f t="shared" si="9"/>
        <v>4.0958116407927312</v>
      </c>
      <c r="M27" s="1361">
        <f t="shared" si="13"/>
        <v>512.78779899999995</v>
      </c>
      <c r="N27" s="1362">
        <f t="shared" si="14"/>
        <v>4.0958116407927312</v>
      </c>
      <c r="O27" s="1361">
        <f t="shared" si="6"/>
        <v>-743.46091116502498</v>
      </c>
      <c r="P27" s="1361">
        <f t="shared" si="7"/>
        <v>-299.20779899999991</v>
      </c>
    </row>
    <row r="28" spans="1:16" ht="20.25" customHeight="1" x14ac:dyDescent="0.25">
      <c r="A28" s="1367" t="s">
        <v>995</v>
      </c>
      <c r="B28" s="1358">
        <v>53.674100000000003</v>
      </c>
      <c r="C28" s="1358">
        <v>671.68</v>
      </c>
      <c r="D28" s="1358"/>
      <c r="E28" s="1358">
        <v>282.10000000000002</v>
      </c>
      <c r="F28" s="1361">
        <f t="shared" si="10"/>
        <v>4.1999166269652219</v>
      </c>
      <c r="G28" s="1358">
        <f t="shared" si="11"/>
        <v>282.10000000000002</v>
      </c>
      <c r="H28" s="1361">
        <f t="shared" si="12"/>
        <v>4.1999166269652219</v>
      </c>
      <c r="I28" s="1358"/>
      <c r="J28" s="1358"/>
      <c r="K28" s="1358"/>
      <c r="L28" s="1361"/>
      <c r="M28" s="1361"/>
      <c r="N28" s="1362"/>
      <c r="O28" s="1361">
        <f t="shared" si="6"/>
        <v>671.68</v>
      </c>
      <c r="P28" s="1361">
        <f t="shared" si="7"/>
        <v>282.10000000000002</v>
      </c>
    </row>
    <row r="29" spans="1:16" ht="20.25" customHeight="1" x14ac:dyDescent="0.25">
      <c r="A29" s="1360" t="s">
        <v>1044</v>
      </c>
      <c r="B29" s="1358">
        <v>53.674100000000003</v>
      </c>
      <c r="C29" s="1358">
        <v>637.15</v>
      </c>
      <c r="D29" s="1358">
        <v>115.1</v>
      </c>
      <c r="E29" s="1358">
        <v>152.91999999999999</v>
      </c>
      <c r="F29" s="1361">
        <f t="shared" si="10"/>
        <v>2.4000627795652512</v>
      </c>
      <c r="G29" s="1358">
        <f t="shared" si="11"/>
        <v>268.02</v>
      </c>
      <c r="H29" s="1361">
        <f t="shared" si="12"/>
        <v>4.2065447696774703</v>
      </c>
      <c r="I29" s="1368">
        <f>'[29]Actuals apprd'!F62</f>
        <v>1498.3672241665461</v>
      </c>
      <c r="J29" s="1368">
        <f>'[29]Actuals apprd'!G62</f>
        <v>254.7474938</v>
      </c>
      <c r="K29" s="1361">
        <f>'[29]Actuals apprd'!H62</f>
        <v>411.948803</v>
      </c>
      <c r="L29" s="1361">
        <f t="shared" si="9"/>
        <v>2.7493180333622353</v>
      </c>
      <c r="M29" s="1361">
        <f t="shared" si="13"/>
        <v>666.69629680000003</v>
      </c>
      <c r="N29" s="1362">
        <f t="shared" si="14"/>
        <v>4.4494853200679438</v>
      </c>
      <c r="O29" s="1361">
        <f t="shared" si="6"/>
        <v>-861.21722416654609</v>
      </c>
      <c r="P29" s="1361">
        <f t="shared" si="7"/>
        <v>-398.67629680000005</v>
      </c>
    </row>
    <row r="30" spans="1:16" ht="20.25" customHeight="1" x14ac:dyDescent="0.25">
      <c r="A30" s="1360" t="s">
        <v>1045</v>
      </c>
      <c r="B30" s="1358">
        <v>53.674100000000003</v>
      </c>
      <c r="C30" s="1358">
        <v>776.35</v>
      </c>
      <c r="D30" s="1358">
        <v>167.41</v>
      </c>
      <c r="E30" s="1358">
        <v>151.38999999999999</v>
      </c>
      <c r="F30" s="1361">
        <f t="shared" si="10"/>
        <v>1.9500225413795322</v>
      </c>
      <c r="G30" s="1358">
        <f t="shared" si="11"/>
        <v>318.79999999999995</v>
      </c>
      <c r="H30" s="1361">
        <f t="shared" si="12"/>
        <v>4.1063953113930571</v>
      </c>
      <c r="I30" s="1369"/>
      <c r="J30" s="1369"/>
      <c r="K30" s="1358"/>
      <c r="L30" s="1361"/>
      <c r="M30" s="1361"/>
      <c r="N30" s="1362" t="e">
        <f t="shared" si="14"/>
        <v>#DIV/0!</v>
      </c>
      <c r="O30" s="1361">
        <f t="shared" si="6"/>
        <v>776.35</v>
      </c>
      <c r="P30" s="1361">
        <f t="shared" si="7"/>
        <v>318.79999999999995</v>
      </c>
    </row>
    <row r="31" spans="1:16" ht="20.25" customHeight="1" x14ac:dyDescent="0.25">
      <c r="A31" s="1360" t="s">
        <v>894</v>
      </c>
      <c r="B31" s="1358">
        <v>53.674100000000003</v>
      </c>
      <c r="C31" s="1358">
        <v>1617.74</v>
      </c>
      <c r="D31" s="1358">
        <v>413.83</v>
      </c>
      <c r="E31" s="1358">
        <v>488.56</v>
      </c>
      <c r="F31" s="1361">
        <f t="shared" si="10"/>
        <v>3.020015577286832</v>
      </c>
      <c r="G31" s="1358">
        <f t="shared" si="11"/>
        <v>902.39</v>
      </c>
      <c r="H31" s="1361">
        <f t="shared" si="12"/>
        <v>5.5780904224411829</v>
      </c>
      <c r="I31" s="1361">
        <f>'[29]Actuals apprd'!F63</f>
        <v>1220.613353903547</v>
      </c>
      <c r="J31" s="1361">
        <f>'[29]Actuals apprd'!G63</f>
        <v>768.63561460000005</v>
      </c>
      <c r="K31" s="1361">
        <f>'[29]Actuals apprd'!H63</f>
        <v>471.82908689999999</v>
      </c>
      <c r="L31" s="1361">
        <f t="shared" si="9"/>
        <v>3.8655081512182439</v>
      </c>
      <c r="M31" s="1361">
        <f t="shared" si="13"/>
        <v>1240.4647015</v>
      </c>
      <c r="N31" s="1362">
        <f t="shared" si="14"/>
        <v>10.162634199707615</v>
      </c>
      <c r="O31" s="1361">
        <f t="shared" si="6"/>
        <v>397.12664609645299</v>
      </c>
      <c r="P31" s="1361">
        <f t="shared" si="7"/>
        <v>-338.07470150000006</v>
      </c>
    </row>
    <row r="32" spans="1:16" ht="20.25" customHeight="1" x14ac:dyDescent="0.25">
      <c r="A32" s="1360" t="s">
        <v>1170</v>
      </c>
      <c r="B32" s="1358"/>
      <c r="C32" s="1358"/>
      <c r="D32" s="1358"/>
      <c r="E32" s="1358"/>
      <c r="F32" s="1361"/>
      <c r="G32" s="1358"/>
      <c r="H32" s="1361"/>
      <c r="I32" s="1361">
        <f>'[29]Actuals apprd'!F64</f>
        <v>20.615415599304999</v>
      </c>
      <c r="J32" s="1361"/>
      <c r="K32" s="1361"/>
      <c r="L32" s="1361"/>
      <c r="M32" s="1361">
        <f>'[29]Actuals apprd'!N64</f>
        <v>9.5178419999999999</v>
      </c>
      <c r="N32" s="1362"/>
      <c r="O32" s="1361"/>
      <c r="P32" s="1361"/>
    </row>
    <row r="33" spans="1:16" ht="20.25" customHeight="1" x14ac:dyDescent="0.25">
      <c r="A33" s="1363" t="s">
        <v>999</v>
      </c>
      <c r="B33" s="1358"/>
      <c r="C33" s="1364">
        <f>SUM(C14:C31)</f>
        <v>11576.28</v>
      </c>
      <c r="D33" s="1364">
        <f>SUM(D14:D31)</f>
        <v>1377.08</v>
      </c>
      <c r="E33" s="1364">
        <f>SUM(E14:E31)</f>
        <v>3171.6299999999997</v>
      </c>
      <c r="F33" s="1365">
        <f t="shared" si="10"/>
        <v>2.7397661424913702</v>
      </c>
      <c r="G33" s="1364">
        <f>SUM(G14:G31)</f>
        <v>4548.71</v>
      </c>
      <c r="H33" s="1365">
        <f t="shared" si="12"/>
        <v>3.9293365398901892</v>
      </c>
      <c r="I33" s="1365">
        <f>SUM(I14:I32)</f>
        <v>10639.745457408835</v>
      </c>
      <c r="J33" s="1365">
        <f>SUM(J14:J32)</f>
        <v>1764.6282087</v>
      </c>
      <c r="K33" s="1365">
        <f>SUM(K14:K32)</f>
        <v>3290.5589095000005</v>
      </c>
      <c r="L33" s="1365">
        <f>SUM(L14:L32)</f>
        <v>44.594917739752368</v>
      </c>
      <c r="M33" s="1365">
        <f>SUM(M14:M32)</f>
        <v>5064.7049601999997</v>
      </c>
      <c r="N33" s="1366">
        <f t="shared" si="14"/>
        <v>4.7601749313215613</v>
      </c>
      <c r="O33" s="1365">
        <f t="shared" si="6"/>
        <v>936.53454259116552</v>
      </c>
      <c r="P33" s="1365">
        <f t="shared" si="7"/>
        <v>-515.9949601999997</v>
      </c>
    </row>
    <row r="34" spans="1:16" ht="20.25" customHeight="1" x14ac:dyDescent="0.25">
      <c r="A34" s="1360" t="s">
        <v>1000</v>
      </c>
      <c r="B34" s="1358"/>
      <c r="C34" s="1358"/>
      <c r="D34" s="1358"/>
      <c r="E34" s="1358"/>
      <c r="F34" s="1358"/>
      <c r="G34" s="1358"/>
      <c r="H34" s="1358"/>
      <c r="I34" s="1358"/>
      <c r="J34" s="1358"/>
      <c r="K34" s="1358"/>
      <c r="L34" s="1358"/>
      <c r="M34" s="1358"/>
      <c r="N34" s="1358"/>
      <c r="O34" s="1361"/>
      <c r="P34" s="1361"/>
    </row>
    <row r="35" spans="1:16" ht="20.25" customHeight="1" x14ac:dyDescent="0.25">
      <c r="A35" s="1363" t="s">
        <v>1001</v>
      </c>
      <c r="B35" s="1358">
        <v>67.388599999999997</v>
      </c>
      <c r="C35" s="1358">
        <v>2932.93</v>
      </c>
      <c r="D35" s="1358">
        <v>768.9</v>
      </c>
      <c r="E35" s="1358">
        <v>1038.26</v>
      </c>
      <c r="F35" s="1358">
        <v>3.54</v>
      </c>
      <c r="G35" s="1358">
        <f>E35+D35</f>
        <v>1807.1599999999999</v>
      </c>
      <c r="H35" s="1361">
        <f>G35/C35*10</f>
        <v>6.1616199500158544</v>
      </c>
      <c r="I35" s="1361">
        <f>'[29]Actuals apprd'!F67</f>
        <v>2046.303536808736</v>
      </c>
      <c r="J35" s="1370">
        <f>'[29]Actuals apprd'!G67</f>
        <v>735.52</v>
      </c>
      <c r="K35" s="1370">
        <f>'[29]Actuals apprd'!H67</f>
        <v>710.75</v>
      </c>
      <c r="L35" s="1361">
        <f t="shared" si="9"/>
        <v>3.4733361264108122</v>
      </c>
      <c r="M35" s="1365">
        <f>'[29]Actuals apprd'!N67</f>
        <v>1446.2726150771077</v>
      </c>
      <c r="N35" s="1362">
        <f t="shared" si="14"/>
        <v>7.0677325678311043</v>
      </c>
      <c r="O35" s="1361">
        <f t="shared" si="6"/>
        <v>886.62646319126384</v>
      </c>
      <c r="P35" s="1361">
        <f t="shared" si="7"/>
        <v>360.88738492289212</v>
      </c>
    </row>
    <row r="36" spans="1:16" ht="20.25" customHeight="1" x14ac:dyDescent="0.25">
      <c r="A36" s="1371" t="s">
        <v>1002</v>
      </c>
      <c r="B36" s="1358"/>
      <c r="C36" s="1358"/>
      <c r="D36" s="1358"/>
      <c r="E36" s="1358"/>
      <c r="F36" s="1358"/>
      <c r="G36" s="1358"/>
      <c r="H36" s="1358"/>
      <c r="I36" s="1358"/>
      <c r="J36" s="1358"/>
      <c r="K36" s="1358"/>
      <c r="L36" s="1358"/>
      <c r="M36" s="1358"/>
      <c r="N36" s="1358"/>
      <c r="O36" s="1361"/>
      <c r="P36" s="1361"/>
    </row>
    <row r="37" spans="1:16" ht="20.25" customHeight="1" x14ac:dyDescent="0.25">
      <c r="A37" s="1367" t="s">
        <v>1003</v>
      </c>
      <c r="B37" s="1358">
        <v>4.3552</v>
      </c>
      <c r="C37" s="1358">
        <v>181.05</v>
      </c>
      <c r="D37" s="1358"/>
      <c r="E37" s="1358">
        <v>9.23</v>
      </c>
      <c r="F37" s="1358">
        <v>3.54</v>
      </c>
      <c r="G37" s="1358">
        <f>E37+D37</f>
        <v>9.23</v>
      </c>
      <c r="H37" s="1361">
        <f>G37/C37*10</f>
        <v>0.50980392156862742</v>
      </c>
      <c r="I37" s="1361">
        <f>'[29]Actuals apprd'!F8</f>
        <v>234.192204</v>
      </c>
      <c r="J37" s="1361">
        <f>'[29]Actuals apprd'!G8</f>
        <v>0.57444321484799987</v>
      </c>
      <c r="K37" s="1361">
        <f>'[29]Actuals apprd'!H8+'[29]Actuals apprd'!I8+'[29]Actuals apprd'!J8</f>
        <v>11.72466040950272</v>
      </c>
      <c r="L37" s="1361">
        <f>K37/I37*10</f>
        <v>0.50064264348879517</v>
      </c>
      <c r="M37" s="1361">
        <f>K37+J37</f>
        <v>12.299103624350719</v>
      </c>
      <c r="N37" s="1362">
        <f t="shared" si="14"/>
        <v>0.52517135132093118</v>
      </c>
      <c r="O37" s="1361">
        <f t="shared" si="6"/>
        <v>-53.142203999999992</v>
      </c>
      <c r="P37" s="1361">
        <f t="shared" si="7"/>
        <v>-3.0691036243507188</v>
      </c>
    </row>
    <row r="38" spans="1:16" ht="20.25" customHeight="1" x14ac:dyDescent="0.25">
      <c r="A38" s="1367" t="s">
        <v>1004</v>
      </c>
      <c r="B38" s="1358">
        <v>10</v>
      </c>
      <c r="C38" s="1358">
        <v>21.14</v>
      </c>
      <c r="D38" s="1358"/>
      <c r="E38" s="1358">
        <v>3.09</v>
      </c>
      <c r="F38" s="1358">
        <v>4.54</v>
      </c>
      <c r="G38" s="1358">
        <f t="shared" ref="G38:G49" si="15">E38+D38</f>
        <v>3.09</v>
      </c>
      <c r="H38" s="1361">
        <f t="shared" ref="H38:H50" si="16">G38/C38*10</f>
        <v>1.4616840113528853</v>
      </c>
      <c r="I38" s="1361">
        <f>'[29]Actuals apprd'!F23</f>
        <v>29.029299999999999</v>
      </c>
      <c r="J38" s="1361">
        <f>'[29]Actuals apprd'!G23</f>
        <v>0.22800000000000001</v>
      </c>
      <c r="K38" s="1361">
        <f>'[29]Actuals apprd'!H23+'[29]Actuals apprd'!I23+'[29]Actuals apprd'!J23</f>
        <v>1.9960468</v>
      </c>
      <c r="L38" s="1361">
        <f t="shared" ref="L38:L49" si="17">K38/I38*10</f>
        <v>0.68759728963495514</v>
      </c>
      <c r="M38" s="1361">
        <f t="shared" ref="M38:M49" si="18">K38+J38</f>
        <v>2.2240468</v>
      </c>
      <c r="N38" s="1362">
        <f t="shared" si="14"/>
        <v>0.76613862545772726</v>
      </c>
      <c r="O38" s="1361">
        <f t="shared" si="6"/>
        <v>-7.8892999999999986</v>
      </c>
      <c r="P38" s="1361">
        <f t="shared" si="7"/>
        <v>0.86595319999999987</v>
      </c>
    </row>
    <row r="39" spans="1:16" ht="20.25" customHeight="1" x14ac:dyDescent="0.25">
      <c r="A39" s="1360" t="s">
        <v>1005</v>
      </c>
      <c r="B39" s="1358">
        <v>10</v>
      </c>
      <c r="C39" s="1358">
        <v>51.31</v>
      </c>
      <c r="D39" s="1358"/>
      <c r="E39" s="1358">
        <v>9.39</v>
      </c>
      <c r="F39" s="1358">
        <v>5.54</v>
      </c>
      <c r="G39" s="1358">
        <f t="shared" si="15"/>
        <v>9.39</v>
      </c>
      <c r="H39" s="1361">
        <f t="shared" si="16"/>
        <v>1.8300526213213799</v>
      </c>
      <c r="I39" s="1361">
        <f>'[29]Actuals apprd'!F17</f>
        <v>56.265599999999999</v>
      </c>
      <c r="J39" s="1361">
        <f>'[29]Actuals apprd'!G17</f>
        <v>1.5950861999999999</v>
      </c>
      <c r="K39" s="1361">
        <f>'[29]Actuals apprd'!H17+'[29]Actuals apprd'!I17+'[29]Actuals apprd'!J17</f>
        <v>6.5044576000000003</v>
      </c>
      <c r="L39" s="1361">
        <f t="shared" si="17"/>
        <v>1.1560274128419497</v>
      </c>
      <c r="M39" s="1361">
        <f t="shared" si="18"/>
        <v>8.0995437999999993</v>
      </c>
      <c r="N39" s="1362">
        <f t="shared" si="14"/>
        <v>1.4395196709890234</v>
      </c>
      <c r="O39" s="1361">
        <f t="shared" si="6"/>
        <v>-4.9555999999999969</v>
      </c>
      <c r="P39" s="1361">
        <f t="shared" si="7"/>
        <v>1.2904562000000013</v>
      </c>
    </row>
    <row r="40" spans="1:16" ht="20.25" customHeight="1" x14ac:dyDescent="0.25">
      <c r="A40" s="1360" t="s">
        <v>1006</v>
      </c>
      <c r="B40" s="1358">
        <v>8.5</v>
      </c>
      <c r="C40" s="1358">
        <v>243.8</v>
      </c>
      <c r="D40" s="1358"/>
      <c r="E40" s="1358">
        <v>19.260000000000002</v>
      </c>
      <c r="F40" s="1358">
        <v>6.54</v>
      </c>
      <c r="G40" s="1358">
        <f t="shared" si="15"/>
        <v>19.260000000000002</v>
      </c>
      <c r="H40" s="1361">
        <f t="shared" si="16"/>
        <v>0.78999179655455287</v>
      </c>
      <c r="I40" s="1361">
        <f>'[29]Actuals apprd'!F10</f>
        <v>355.38159999999999</v>
      </c>
      <c r="J40" s="1361">
        <f>'[29]Actuals apprd'!G10</f>
        <v>1.3107999600000002</v>
      </c>
      <c r="K40" s="1361">
        <f>'[29]Actuals apprd'!H10+'[29]Actuals apprd'!I10+'[29]Actuals apprd'!J10</f>
        <v>21.446003222500003</v>
      </c>
      <c r="L40" s="1361">
        <f t="shared" si="17"/>
        <v>0.60346408543661245</v>
      </c>
      <c r="M40" s="1361">
        <f t="shared" si="18"/>
        <v>22.756803182500004</v>
      </c>
      <c r="N40" s="1362">
        <f t="shared" si="14"/>
        <v>0.64034837995270444</v>
      </c>
      <c r="O40" s="1361">
        <f t="shared" si="6"/>
        <v>-111.58159999999998</v>
      </c>
      <c r="P40" s="1361">
        <f t="shared" si="7"/>
        <v>-3.4968031825000025</v>
      </c>
    </row>
    <row r="41" spans="1:16" ht="20.25" customHeight="1" x14ac:dyDescent="0.25">
      <c r="A41" s="1360" t="s">
        <v>1007</v>
      </c>
      <c r="B41" s="1358">
        <v>10</v>
      </c>
      <c r="C41" s="1358">
        <v>107.92</v>
      </c>
      <c r="D41" s="1358"/>
      <c r="E41" s="1358">
        <v>10.79</v>
      </c>
      <c r="F41" s="1358">
        <v>7.54</v>
      </c>
      <c r="G41" s="1358">
        <f t="shared" si="15"/>
        <v>10.79</v>
      </c>
      <c r="H41" s="1361">
        <f t="shared" si="16"/>
        <v>0.99981467753891762</v>
      </c>
      <c r="I41" s="1361">
        <f>'[29]Actuals apprd'!F11</f>
        <v>119.15908899999999</v>
      </c>
      <c r="J41" s="1361">
        <f>'[29]Actuals apprd'!G11</f>
        <v>0.9490000000000004</v>
      </c>
      <c r="K41" s="1361">
        <f>'[29]Actuals apprd'!H11+'[29]Actuals apprd'!I11+'[29]Actuals apprd'!J11</f>
        <v>10.753252994000002</v>
      </c>
      <c r="L41" s="1361">
        <f t="shared" si="17"/>
        <v>0.90242826495593664</v>
      </c>
      <c r="M41" s="1361">
        <f t="shared" si="18"/>
        <v>11.702252994000002</v>
      </c>
      <c r="N41" s="1362">
        <f t="shared" si="14"/>
        <v>0.9820696928960243</v>
      </c>
      <c r="O41" s="1361">
        <f t="shared" si="6"/>
        <v>-11.239088999999993</v>
      </c>
      <c r="P41" s="1361">
        <f t="shared" si="7"/>
        <v>-0.91225299400000281</v>
      </c>
    </row>
    <row r="42" spans="1:16" ht="20.25" customHeight="1" x14ac:dyDescent="0.25">
      <c r="A42" s="1360" t="s">
        <v>1159</v>
      </c>
      <c r="B42" s="1358"/>
      <c r="C42" s="1358"/>
      <c r="D42" s="1358"/>
      <c r="E42" s="1358"/>
      <c r="F42" s="1358"/>
      <c r="G42" s="1358"/>
      <c r="H42" s="1361"/>
      <c r="I42" s="1361"/>
      <c r="J42" s="1361"/>
      <c r="K42" s="1361">
        <f>'[29]Actuals apprd'!N12</f>
        <v>2.8020203633333338</v>
      </c>
      <c r="L42" s="1361"/>
      <c r="M42" s="1361">
        <f>K42+J42</f>
        <v>2.8020203633333338</v>
      </c>
      <c r="N42" s="1362"/>
      <c r="O42" s="1361">
        <f t="shared" si="6"/>
        <v>0</v>
      </c>
      <c r="P42" s="1361">
        <f t="shared" si="7"/>
        <v>-2.8020203633333338</v>
      </c>
    </row>
    <row r="43" spans="1:16" ht="20.25" customHeight="1" x14ac:dyDescent="0.25">
      <c r="A43" s="1360" t="s">
        <v>1008</v>
      </c>
      <c r="B43" s="1358">
        <v>10</v>
      </c>
      <c r="C43" s="1358">
        <v>44.24</v>
      </c>
      <c r="D43" s="1358"/>
      <c r="E43" s="1358">
        <v>8.23</v>
      </c>
      <c r="F43" s="1358">
        <v>8.5399999999999991</v>
      </c>
      <c r="G43" s="1358">
        <f t="shared" si="15"/>
        <v>8.23</v>
      </c>
      <c r="H43" s="1361">
        <f t="shared" si="16"/>
        <v>1.8603074141048825</v>
      </c>
      <c r="I43" s="1361">
        <f>'[29]Actuals apprd'!F18</f>
        <v>62.231000000000002</v>
      </c>
      <c r="J43" s="1361">
        <f>'[29]Actuals apprd'!G18</f>
        <v>1.9982392000000007</v>
      </c>
      <c r="K43" s="1361">
        <f>'[29]Actuals apprd'!H18+'[29]Actuals apprd'!I18+'[29]Actuals apprd'!J18</f>
        <v>8.9311761499999971</v>
      </c>
      <c r="L43" s="1361">
        <f t="shared" si="17"/>
        <v>1.4351651347399201</v>
      </c>
      <c r="M43" s="1361">
        <f t="shared" si="18"/>
        <v>10.929415349999998</v>
      </c>
      <c r="N43" s="1362">
        <f t="shared" si="14"/>
        <v>1.7562654223779142</v>
      </c>
      <c r="O43" s="1361">
        <f t="shared" si="6"/>
        <v>-17.991</v>
      </c>
      <c r="P43" s="1361">
        <f t="shared" si="7"/>
        <v>-2.6994153499999971</v>
      </c>
    </row>
    <row r="44" spans="1:16" ht="20.25" customHeight="1" x14ac:dyDescent="0.25">
      <c r="A44" s="1367" t="s">
        <v>1009</v>
      </c>
      <c r="B44" s="1358">
        <v>10</v>
      </c>
      <c r="C44" s="1358">
        <v>4.8</v>
      </c>
      <c r="D44" s="1358"/>
      <c r="E44" s="1358">
        <v>2.52</v>
      </c>
      <c r="F44" s="1358">
        <v>9.5399999999999991</v>
      </c>
      <c r="G44" s="1358">
        <f t="shared" si="15"/>
        <v>2.52</v>
      </c>
      <c r="H44" s="1361">
        <f t="shared" si="16"/>
        <v>5.25</v>
      </c>
      <c r="I44" s="1361">
        <f>'[29]Actuals apprd'!F9</f>
        <v>7.2274919999999998</v>
      </c>
      <c r="J44" s="1361">
        <f>'[29]Actuals apprd'!G9</f>
        <v>7.5581999999999996E-2</v>
      </c>
      <c r="K44" s="1361">
        <f>'[29]Actuals apprd'!H9+'[29]Actuals apprd'!I9+'[29]Actuals apprd'!J9</f>
        <v>2.2851252256000008</v>
      </c>
      <c r="L44" s="1361">
        <f t="shared" si="17"/>
        <v>3.1617125630855085</v>
      </c>
      <c r="M44" s="1361">
        <f t="shared" si="18"/>
        <v>2.3607072256000006</v>
      </c>
      <c r="N44" s="1362">
        <f t="shared" si="14"/>
        <v>3.2662882582229087</v>
      </c>
      <c r="O44" s="1361">
        <f t="shared" si="6"/>
        <v>-2.427492</v>
      </c>
      <c r="P44" s="1361">
        <f t="shared" si="7"/>
        <v>0.15929277439999945</v>
      </c>
    </row>
    <row r="45" spans="1:16" ht="20.25" customHeight="1" x14ac:dyDescent="0.25">
      <c r="A45" s="1360" t="s">
        <v>1010</v>
      </c>
      <c r="B45" s="1358">
        <v>10</v>
      </c>
      <c r="C45" s="1358">
        <v>36.54</v>
      </c>
      <c r="D45" s="1358"/>
      <c r="E45" s="1358">
        <v>8.84</v>
      </c>
      <c r="F45" s="1358">
        <v>10.54</v>
      </c>
      <c r="G45" s="1358">
        <f t="shared" si="15"/>
        <v>8.84</v>
      </c>
      <c r="H45" s="1361">
        <f t="shared" si="16"/>
        <v>2.4192665571975915</v>
      </c>
      <c r="I45" s="1361">
        <f>'[29]Actuals apprd'!F15</f>
        <v>46.113309999999998</v>
      </c>
      <c r="J45" s="1361">
        <f>'[29]Actuals apprd'!G15</f>
        <v>1.2925439999999999</v>
      </c>
      <c r="K45" s="1361">
        <f>'[29]Actuals apprd'!H15+'[29]Actuals apprd'!I15+'[29]Actuals apprd'!J15</f>
        <v>6.9038770500000002</v>
      </c>
      <c r="L45" s="1361">
        <f t="shared" si="17"/>
        <v>1.4971549537432902</v>
      </c>
      <c r="M45" s="1361">
        <f t="shared" si="18"/>
        <v>8.1964210499999997</v>
      </c>
      <c r="N45" s="1362">
        <f t="shared" si="14"/>
        <v>1.7774523342609758</v>
      </c>
      <c r="O45" s="1361">
        <f t="shared" si="6"/>
        <v>-9.5733099999999993</v>
      </c>
      <c r="P45" s="1361">
        <f t="shared" si="7"/>
        <v>0.64357895000000021</v>
      </c>
    </row>
    <row r="46" spans="1:16" ht="20.25" customHeight="1" x14ac:dyDescent="0.25">
      <c r="A46" s="1360" t="s">
        <v>1011</v>
      </c>
      <c r="B46" s="1358">
        <v>10</v>
      </c>
      <c r="C46" s="1358">
        <v>34.840000000000003</v>
      </c>
      <c r="D46" s="1358"/>
      <c r="E46" s="1358">
        <v>5.71</v>
      </c>
      <c r="F46" s="1358">
        <v>11.54</v>
      </c>
      <c r="G46" s="1358">
        <f t="shared" si="15"/>
        <v>5.71</v>
      </c>
      <c r="H46" s="1361">
        <f t="shared" si="16"/>
        <v>1.6389207807118253</v>
      </c>
      <c r="I46" s="1361">
        <f>'[29]Actuals apprd'!F16</f>
        <v>45.867043000000002</v>
      </c>
      <c r="J46" s="1361">
        <f>'[29]Actuals apprd'!G16</f>
        <v>0.79856820000000006</v>
      </c>
      <c r="K46" s="1361">
        <f>'[29]Actuals apprd'!H16+'[29]Actuals apprd'!I16+'[29]Actuals apprd'!J16</f>
        <v>5.0749707460000009</v>
      </c>
      <c r="L46" s="1361">
        <f t="shared" si="17"/>
        <v>1.1064525668245064</v>
      </c>
      <c r="M46" s="1361">
        <f t="shared" si="18"/>
        <v>5.8735389460000009</v>
      </c>
      <c r="N46" s="1362">
        <f t="shared" si="14"/>
        <v>1.2805575772565065</v>
      </c>
      <c r="O46" s="1361">
        <f t="shared" si="6"/>
        <v>-11.027042999999999</v>
      </c>
      <c r="P46" s="1361">
        <f t="shared" si="7"/>
        <v>-0.16353894600000096</v>
      </c>
    </row>
    <row r="47" spans="1:16" ht="20.25" customHeight="1" x14ac:dyDescent="0.25">
      <c r="A47" s="1367" t="s">
        <v>1012</v>
      </c>
      <c r="B47" s="1358">
        <v>10</v>
      </c>
      <c r="C47" s="1358">
        <v>7.24</v>
      </c>
      <c r="D47" s="1358"/>
      <c r="E47" s="1358">
        <v>1.99</v>
      </c>
      <c r="F47" s="1358">
        <v>12.54</v>
      </c>
      <c r="G47" s="1358">
        <f t="shared" si="15"/>
        <v>1.99</v>
      </c>
      <c r="H47" s="1361">
        <f t="shared" si="16"/>
        <v>2.7486187845303869</v>
      </c>
      <c r="I47" s="1361">
        <f>'[29]Actuals apprd'!F13</f>
        <v>4.9607999999999999</v>
      </c>
      <c r="J47" s="1361">
        <f>'[29]Actuals apprd'!G13</f>
        <v>7.1999999999999995E-2</v>
      </c>
      <c r="K47" s="1361">
        <f>'[29]Actuals apprd'!H13+'[29]Actuals apprd'!I13+'[29]Actuals apprd'!J13-0.28</f>
        <v>0.6035881359999995</v>
      </c>
      <c r="L47" s="1361">
        <f t="shared" si="17"/>
        <v>1.2167153201096588</v>
      </c>
      <c r="M47" s="1361">
        <f t="shared" si="18"/>
        <v>0.67558813599999945</v>
      </c>
      <c r="N47" s="1362">
        <f t="shared" si="14"/>
        <v>1.3618532010965962</v>
      </c>
      <c r="O47" s="1361">
        <f t="shared" si="6"/>
        <v>2.2792000000000003</v>
      </c>
      <c r="P47" s="1361">
        <f t="shared" si="7"/>
        <v>1.3144118640000007</v>
      </c>
    </row>
    <row r="48" spans="1:16" ht="20.25" customHeight="1" x14ac:dyDescent="0.25">
      <c r="A48" s="1360" t="s">
        <v>1013</v>
      </c>
      <c r="B48" s="1358">
        <v>10</v>
      </c>
      <c r="C48" s="1358">
        <v>24.27</v>
      </c>
      <c r="D48" s="1358"/>
      <c r="E48" s="1358">
        <v>3.18</v>
      </c>
      <c r="F48" s="1358">
        <v>13.54</v>
      </c>
      <c r="G48" s="1358">
        <f t="shared" si="15"/>
        <v>3.18</v>
      </c>
      <c r="H48" s="1361">
        <f t="shared" si="16"/>
        <v>1.3102595797280594</v>
      </c>
      <c r="I48" s="1361">
        <f>'[29]Actuals apprd'!F20+'[29]Actuals apprd'!F21</f>
        <v>26.087244100000003</v>
      </c>
      <c r="J48" s="1358">
        <v>0.35</v>
      </c>
      <c r="K48" s="1358">
        <v>2.64</v>
      </c>
      <c r="L48" s="1361">
        <f t="shared" si="17"/>
        <v>1.0119888440036484</v>
      </c>
      <c r="M48" s="1361">
        <f t="shared" si="18"/>
        <v>2.99</v>
      </c>
      <c r="N48" s="1362">
        <f t="shared" si="14"/>
        <v>1.1461540316556473</v>
      </c>
      <c r="O48" s="1361">
        <f t="shared" si="6"/>
        <v>-1.8172441000000035</v>
      </c>
      <c r="P48" s="1361">
        <f t="shared" si="7"/>
        <v>0.18999999999999995</v>
      </c>
    </row>
    <row r="49" spans="1:16" ht="20.25" customHeight="1" x14ac:dyDescent="0.25">
      <c r="A49" s="1360" t="s">
        <v>1014</v>
      </c>
      <c r="B49" s="1358">
        <v>10</v>
      </c>
      <c r="C49" s="1358">
        <v>9.14</v>
      </c>
      <c r="D49" s="1358"/>
      <c r="E49" s="1358">
        <v>0.98</v>
      </c>
      <c r="F49" s="1358">
        <v>14.54</v>
      </c>
      <c r="G49" s="1358">
        <f t="shared" si="15"/>
        <v>0.98</v>
      </c>
      <c r="H49" s="1361">
        <f t="shared" si="16"/>
        <v>1.072210065645514</v>
      </c>
      <c r="I49" s="1361">
        <f>'[29]Actuals apprd'!F22</f>
        <v>9.4147096999999995</v>
      </c>
      <c r="J49" s="1361">
        <f>'[29]Actuals apprd'!G22</f>
        <v>4.1999999999999996E-2</v>
      </c>
      <c r="K49" s="1361">
        <f>'[29]Actuals apprd'!H22+'[29]Actuals apprd'!I22+'[29]Actuals apprd'!J22</f>
        <v>0.782122080705</v>
      </c>
      <c r="L49" s="1361">
        <f t="shared" si="17"/>
        <v>0.83074476603882963</v>
      </c>
      <c r="M49" s="1361">
        <f t="shared" si="18"/>
        <v>0.82412208070500004</v>
      </c>
      <c r="N49" s="1362">
        <f t="shared" si="14"/>
        <v>0.87535580699317794</v>
      </c>
      <c r="O49" s="1361">
        <f t="shared" si="6"/>
        <v>-0.27470969999999895</v>
      </c>
      <c r="P49" s="1361">
        <f t="shared" si="7"/>
        <v>0.15587791929499994</v>
      </c>
    </row>
    <row r="50" spans="1:16" ht="20.25" customHeight="1" x14ac:dyDescent="0.25">
      <c r="A50" s="1363" t="s">
        <v>1015</v>
      </c>
      <c r="B50" s="1358"/>
      <c r="C50" s="1365">
        <f>SUM(C37:C49)</f>
        <v>766.29</v>
      </c>
      <c r="D50" s="1365">
        <f t="shared" ref="D50:I50" si="19">SUM(D37:D49)</f>
        <v>0</v>
      </c>
      <c r="E50" s="1365">
        <f t="shared" si="19"/>
        <v>83.21</v>
      </c>
      <c r="F50" s="1365">
        <f t="shared" si="19"/>
        <v>108.47999999999996</v>
      </c>
      <c r="G50" s="1365">
        <f t="shared" si="19"/>
        <v>83.21</v>
      </c>
      <c r="H50" s="1365">
        <f t="shared" si="16"/>
        <v>1.0858813243028096</v>
      </c>
      <c r="I50" s="1365">
        <f t="shared" si="19"/>
        <v>995.92939179999985</v>
      </c>
      <c r="J50" s="1365">
        <f>SUM(J37:J49)</f>
        <v>9.2862627748479998</v>
      </c>
      <c r="K50" s="1365">
        <f>SUM(K37:K49)</f>
        <v>82.447300777641061</v>
      </c>
      <c r="L50" s="1365">
        <f>SUM(L37:L49)</f>
        <v>14.110093844903611</v>
      </c>
      <c r="M50" s="1365">
        <f>SUM(M37:M49)</f>
        <v>91.733563552489031</v>
      </c>
      <c r="N50" s="1361">
        <f t="shared" si="14"/>
        <v>0.92108501172652146</v>
      </c>
      <c r="O50" s="1361">
        <f t="shared" si="6"/>
        <v>-229.63939179999988</v>
      </c>
      <c r="P50" s="1361">
        <f t="shared" si="7"/>
        <v>-8.523563552489037</v>
      </c>
    </row>
    <row r="51" spans="1:16" ht="20.25" customHeight="1" x14ac:dyDescent="0.25">
      <c r="A51" s="1360" t="s">
        <v>1016</v>
      </c>
      <c r="B51" s="1358"/>
      <c r="C51" s="1358"/>
      <c r="D51" s="1358"/>
      <c r="E51" s="1358"/>
      <c r="F51" s="1358"/>
      <c r="G51" s="1358"/>
      <c r="H51" s="1358"/>
      <c r="I51" s="1358"/>
      <c r="J51" s="1358"/>
      <c r="K51" s="1358"/>
      <c r="L51" s="1358"/>
      <c r="M51" s="1358"/>
      <c r="N51" s="1358"/>
      <c r="O51" s="1361"/>
      <c r="P51" s="1361"/>
    </row>
    <row r="52" spans="1:16" ht="20.25" customHeight="1" x14ac:dyDescent="0.25">
      <c r="A52" s="1360" t="s">
        <v>1017</v>
      </c>
      <c r="B52" s="1358">
        <v>53.674100000000003</v>
      </c>
      <c r="C52" s="1372">
        <v>48.69</v>
      </c>
      <c r="D52" s="1372"/>
      <c r="E52" s="1372">
        <v>31.5</v>
      </c>
      <c r="F52" s="1372">
        <v>6.47</v>
      </c>
      <c r="G52" s="1372">
        <f>E52+D52</f>
        <v>31.5</v>
      </c>
      <c r="H52" s="1373">
        <f>G52/C52*10</f>
        <v>6.4695009242144188</v>
      </c>
      <c r="I52" s="1361">
        <f>'[29]Actuals apprd'!F96</f>
        <v>84.288825615999997</v>
      </c>
      <c r="J52" s="1358"/>
      <c r="K52" s="1361">
        <f>'[29]Actuals apprd'!K96</f>
        <v>31.4825436</v>
      </c>
      <c r="L52" s="1358"/>
      <c r="M52" s="1361">
        <f>K52+J52</f>
        <v>31.4825436</v>
      </c>
      <c r="N52" s="1362">
        <f>M52/I52*10</f>
        <v>3.735079160246821</v>
      </c>
      <c r="O52" s="1361">
        <f t="shared" si="6"/>
        <v>-35.598825615999999</v>
      </c>
      <c r="P52" s="1361">
        <f t="shared" si="7"/>
        <v>1.7456400000000372E-2</v>
      </c>
    </row>
    <row r="53" spans="1:16" ht="20.25" customHeight="1" x14ac:dyDescent="0.25">
      <c r="A53" s="1360" t="s">
        <v>1018</v>
      </c>
      <c r="B53" s="1358">
        <v>53.674100000000003</v>
      </c>
      <c r="C53" s="1358">
        <v>9.6199999999999992</v>
      </c>
      <c r="D53" s="1358"/>
      <c r="E53" s="1358">
        <v>0.87</v>
      </c>
      <c r="F53" s="1358">
        <v>0.9</v>
      </c>
      <c r="G53" s="1372">
        <f>E53+D53</f>
        <v>0.87</v>
      </c>
      <c r="H53" s="1373">
        <f>G53/C53*10</f>
        <v>0.90436590436590447</v>
      </c>
      <c r="I53" s="1361">
        <f>'[29]Actuals apprd'!F97</f>
        <v>17.13184490235</v>
      </c>
      <c r="J53" s="1358"/>
      <c r="K53" s="1361">
        <f>'[29]Actuals apprd'!K97</f>
        <v>0.54423809999999995</v>
      </c>
      <c r="L53" s="1358"/>
      <c r="M53" s="1361">
        <f>K53+J53</f>
        <v>0.54423809999999995</v>
      </c>
      <c r="N53" s="1358"/>
      <c r="O53" s="1361">
        <f t="shared" si="6"/>
        <v>-7.5118449023500009</v>
      </c>
      <c r="P53" s="1361">
        <f t="shared" si="7"/>
        <v>0.32576190000000005</v>
      </c>
    </row>
    <row r="54" spans="1:16" ht="20.25" customHeight="1" x14ac:dyDescent="0.25">
      <c r="A54" s="1363" t="s">
        <v>1019</v>
      </c>
      <c r="B54" s="1364"/>
      <c r="C54" s="1364">
        <f>SUM(C52:C53)</f>
        <v>58.309999999999995</v>
      </c>
      <c r="D54" s="1364"/>
      <c r="E54" s="1364">
        <f>SUM(E52:E53)</f>
        <v>32.369999999999997</v>
      </c>
      <c r="F54" s="1358">
        <v>0.9</v>
      </c>
      <c r="G54" s="1364">
        <f>SUM(G52:G53)</f>
        <v>32.369999999999997</v>
      </c>
      <c r="H54" s="1373"/>
      <c r="I54" s="1365">
        <f t="shared" ref="I54:N54" si="20">SUM(I52:I53)</f>
        <v>101.42067051834999</v>
      </c>
      <c r="J54" s="1365">
        <f t="shared" si="20"/>
        <v>0</v>
      </c>
      <c r="K54" s="1365">
        <f t="shared" si="20"/>
        <v>32.026781700000001</v>
      </c>
      <c r="L54" s="1365">
        <f t="shared" si="20"/>
        <v>0</v>
      </c>
      <c r="M54" s="1365">
        <f t="shared" si="20"/>
        <v>32.026781700000001</v>
      </c>
      <c r="N54" s="1365">
        <f t="shared" si="20"/>
        <v>3.735079160246821</v>
      </c>
      <c r="O54" s="1361">
        <f t="shared" si="6"/>
        <v>-43.110670518349998</v>
      </c>
      <c r="P54" s="1361">
        <f t="shared" si="7"/>
        <v>0.34321829999999665</v>
      </c>
    </row>
    <row r="55" spans="1:16" ht="20.25" customHeight="1" x14ac:dyDescent="0.25">
      <c r="A55" s="1360" t="s">
        <v>1020</v>
      </c>
      <c r="B55" s="1358"/>
      <c r="C55" s="1358"/>
      <c r="D55" s="1358"/>
      <c r="E55" s="1358"/>
      <c r="F55" s="1358"/>
      <c r="G55" s="1358"/>
      <c r="H55" s="1358"/>
      <c r="I55" s="1358"/>
      <c r="J55" s="1358"/>
      <c r="K55" s="1358"/>
      <c r="L55" s="1358"/>
      <c r="M55" s="1358"/>
      <c r="N55" s="1358"/>
      <c r="O55" s="1361">
        <f t="shared" si="6"/>
        <v>0</v>
      </c>
      <c r="P55" s="1361">
        <f t="shared" si="7"/>
        <v>0</v>
      </c>
    </row>
    <row r="56" spans="1:16" ht="20.25" customHeight="1" x14ac:dyDescent="0.25">
      <c r="A56" s="1360"/>
      <c r="B56" s="1358"/>
      <c r="C56" s="1358"/>
      <c r="D56" s="1358"/>
      <c r="E56" s="1358"/>
      <c r="F56" s="1358"/>
      <c r="G56" s="1358"/>
      <c r="H56" s="1358"/>
      <c r="I56" s="1358"/>
      <c r="J56" s="1358"/>
      <c r="K56" s="1358"/>
      <c r="L56" s="1358"/>
      <c r="M56" s="1358"/>
      <c r="N56" s="1358"/>
      <c r="O56" s="1361">
        <f t="shared" si="6"/>
        <v>0</v>
      </c>
      <c r="P56" s="1361">
        <f t="shared" si="7"/>
        <v>0</v>
      </c>
    </row>
    <row r="57" spans="1:16" ht="20.25" customHeight="1" x14ac:dyDescent="0.25">
      <c r="A57" s="1360" t="s">
        <v>1021</v>
      </c>
      <c r="B57" s="1358"/>
      <c r="C57" s="1358">
        <v>2693.76</v>
      </c>
      <c r="D57" s="1358"/>
      <c r="E57" s="1358">
        <v>958.9</v>
      </c>
      <c r="F57" s="1358"/>
      <c r="G57" s="1372">
        <f t="shared" ref="G57:G71" si="21">E57+D57</f>
        <v>958.9</v>
      </c>
      <c r="H57" s="1373">
        <f t="shared" ref="H57:H74" si="22">G57/C57*10</f>
        <v>3.5597083630315982</v>
      </c>
      <c r="I57" s="1361">
        <f>'[29]Actuals apprd'!F77</f>
        <v>2781.2900870118701</v>
      </c>
      <c r="J57" s="1358"/>
      <c r="K57" s="1361">
        <f>'[29]Actuals apprd'!K77</f>
        <v>1056.7566974721333</v>
      </c>
      <c r="L57" s="1358"/>
      <c r="M57" s="1361">
        <f t="shared" ref="M57:M78" si="23">K57+J57</f>
        <v>1056.7566974721333</v>
      </c>
      <c r="N57" s="1362">
        <f t="shared" ref="N57:N62" si="24">M57/I57*10</f>
        <v>3.7995198789475397</v>
      </c>
      <c r="O57" s="1361">
        <f t="shared" si="6"/>
        <v>-87.530087011869909</v>
      </c>
      <c r="P57" s="1361">
        <f t="shared" si="7"/>
        <v>-97.856697472133305</v>
      </c>
    </row>
    <row r="58" spans="1:16" ht="20.25" customHeight="1" x14ac:dyDescent="0.25">
      <c r="A58" s="1360" t="s">
        <v>1022</v>
      </c>
      <c r="B58" s="1358"/>
      <c r="C58" s="1358">
        <v>6.92</v>
      </c>
      <c r="D58" s="1358"/>
      <c r="E58" s="1358">
        <v>2.48</v>
      </c>
      <c r="F58" s="1358"/>
      <c r="G58" s="1372">
        <f t="shared" si="21"/>
        <v>2.48</v>
      </c>
      <c r="H58" s="1373">
        <f t="shared" si="22"/>
        <v>3.5838150289017339</v>
      </c>
      <c r="I58" s="1361">
        <f>'[29]Actuals apprd'!F78</f>
        <v>7.1897099999999998</v>
      </c>
      <c r="J58" s="1358"/>
      <c r="K58" s="1361">
        <f>'[29]Actuals apprd'!K78</f>
        <v>2.6090507706612787</v>
      </c>
      <c r="L58" s="1358"/>
      <c r="M58" s="1361">
        <f t="shared" si="23"/>
        <v>2.6090507706612787</v>
      </c>
      <c r="N58" s="1362">
        <f t="shared" si="24"/>
        <v>3.62886788293447</v>
      </c>
      <c r="O58" s="1361">
        <f t="shared" si="6"/>
        <v>-0.26970999999999989</v>
      </c>
      <c r="P58" s="1361">
        <f t="shared" si="7"/>
        <v>-0.12905077066127868</v>
      </c>
    </row>
    <row r="59" spans="1:16" ht="20.25" customHeight="1" x14ac:dyDescent="0.25">
      <c r="A59" s="1360" t="s">
        <v>1023</v>
      </c>
      <c r="B59" s="1358"/>
      <c r="C59" s="1358">
        <v>342.53</v>
      </c>
      <c r="D59" s="1358"/>
      <c r="E59" s="1358">
        <v>108.58</v>
      </c>
      <c r="F59" s="1358"/>
      <c r="G59" s="1372">
        <f t="shared" si="21"/>
        <v>108.58</v>
      </c>
      <c r="H59" s="1373">
        <f t="shared" si="22"/>
        <v>3.1699413190085539</v>
      </c>
      <c r="I59" s="1361">
        <f>'[29]Actuals apprd'!F76</f>
        <v>446.33659475000002</v>
      </c>
      <c r="J59" s="1358"/>
      <c r="K59" s="1361">
        <f>'[29]Actuals apprd'!K76</f>
        <v>142.08301546300001</v>
      </c>
      <c r="L59" s="1358"/>
      <c r="M59" s="1361">
        <f t="shared" si="23"/>
        <v>142.08301546300001</v>
      </c>
      <c r="N59" s="1362">
        <f t="shared" si="24"/>
        <v>3.1833153977119641</v>
      </c>
      <c r="O59" s="1361">
        <f t="shared" si="6"/>
        <v>-103.80659475000004</v>
      </c>
      <c r="P59" s="1361">
        <f t="shared" si="7"/>
        <v>-33.503015463000011</v>
      </c>
    </row>
    <row r="60" spans="1:16" ht="20.25" customHeight="1" x14ac:dyDescent="0.25">
      <c r="A60" s="1360" t="s">
        <v>1024</v>
      </c>
      <c r="B60" s="1358"/>
      <c r="C60" s="1358">
        <v>0</v>
      </c>
      <c r="D60" s="1358"/>
      <c r="E60" s="1358"/>
      <c r="F60" s="1358"/>
      <c r="G60" s="1372">
        <f t="shared" si="21"/>
        <v>0</v>
      </c>
      <c r="H60" s="1373"/>
      <c r="I60" s="1358"/>
      <c r="J60" s="1358"/>
      <c r="K60" s="1358"/>
      <c r="L60" s="1358"/>
      <c r="M60" s="1361">
        <f t="shared" si="23"/>
        <v>0</v>
      </c>
      <c r="N60" s="1362"/>
      <c r="O60" s="1361">
        <f t="shared" si="6"/>
        <v>0</v>
      </c>
      <c r="P60" s="1361">
        <f t="shared" si="7"/>
        <v>0</v>
      </c>
    </row>
    <row r="61" spans="1:16" ht="20.25" customHeight="1" x14ac:dyDescent="0.25">
      <c r="A61" s="1360" t="s">
        <v>1025</v>
      </c>
      <c r="B61" s="1358"/>
      <c r="C61" s="1358">
        <v>0</v>
      </c>
      <c r="D61" s="1358"/>
      <c r="E61" s="1358"/>
      <c r="F61" s="1358"/>
      <c r="G61" s="1372">
        <f t="shared" si="21"/>
        <v>0</v>
      </c>
      <c r="H61" s="1373"/>
      <c r="I61" s="1358"/>
      <c r="J61" s="1358"/>
      <c r="K61" s="1358"/>
      <c r="L61" s="1358"/>
      <c r="M61" s="1361">
        <f t="shared" si="23"/>
        <v>0</v>
      </c>
      <c r="N61" s="1362"/>
      <c r="O61" s="1361">
        <f t="shared" si="6"/>
        <v>0</v>
      </c>
      <c r="P61" s="1361">
        <f t="shared" si="7"/>
        <v>0</v>
      </c>
    </row>
    <row r="62" spans="1:16" ht="20.25" customHeight="1" x14ac:dyDescent="0.25">
      <c r="A62" s="1360" t="s">
        <v>1026</v>
      </c>
      <c r="B62" s="1358"/>
      <c r="C62" s="1358">
        <v>63.87</v>
      </c>
      <c r="D62" s="1358"/>
      <c r="E62" s="1358">
        <v>33.53</v>
      </c>
      <c r="F62" s="1358"/>
      <c r="G62" s="1372">
        <f t="shared" si="21"/>
        <v>33.53</v>
      </c>
      <c r="H62" s="1373">
        <f t="shared" si="22"/>
        <v>5.2497260059495856</v>
      </c>
      <c r="I62" s="1361">
        <f>'[29]Actuals apprd'!F75</f>
        <v>70.319685000000007</v>
      </c>
      <c r="J62" s="1358"/>
      <c r="K62" s="1361">
        <f>'[29]Actuals apprd'!K75</f>
        <v>38.595931299999997</v>
      </c>
      <c r="L62" s="1358"/>
      <c r="M62" s="1361">
        <f t="shared" si="23"/>
        <v>38.595931299999997</v>
      </c>
      <c r="N62" s="1362">
        <f t="shared" si="24"/>
        <v>5.4886382525746509</v>
      </c>
      <c r="O62" s="1361">
        <f t="shared" si="6"/>
        <v>-6.4496850000000094</v>
      </c>
      <c r="P62" s="1361">
        <f t="shared" si="7"/>
        <v>-5.0659312999999955</v>
      </c>
    </row>
    <row r="63" spans="1:16" ht="20.25" customHeight="1" x14ac:dyDescent="0.25">
      <c r="A63" s="1363" t="s">
        <v>1027</v>
      </c>
      <c r="B63" s="1358"/>
      <c r="C63" s="1358"/>
      <c r="D63" s="1358"/>
      <c r="E63" s="1358"/>
      <c r="F63" s="1358"/>
      <c r="G63" s="1372">
        <f t="shared" si="21"/>
        <v>0</v>
      </c>
      <c r="H63" s="1373"/>
      <c r="I63" s="1358"/>
      <c r="J63" s="1358"/>
      <c r="K63" s="1358"/>
      <c r="L63" s="1358"/>
      <c r="M63" s="1361">
        <f t="shared" si="23"/>
        <v>0</v>
      </c>
      <c r="N63" s="1362"/>
      <c r="O63" s="1361">
        <f t="shared" si="6"/>
        <v>0</v>
      </c>
      <c r="P63" s="1361">
        <f t="shared" si="7"/>
        <v>0</v>
      </c>
    </row>
    <row r="64" spans="1:16" ht="20.25" customHeight="1" x14ac:dyDescent="0.25">
      <c r="A64" s="1360" t="s">
        <v>1049</v>
      </c>
      <c r="B64" s="1358"/>
      <c r="C64" s="1358">
        <v>1645.31</v>
      </c>
      <c r="D64" s="1358"/>
      <c r="E64" s="1358">
        <v>899.99</v>
      </c>
      <c r="F64" s="1358"/>
      <c r="G64" s="1372">
        <f t="shared" si="21"/>
        <v>899.99</v>
      </c>
      <c r="H64" s="1373">
        <f t="shared" si="22"/>
        <v>5.4700330028991493</v>
      </c>
      <c r="I64" s="1361">
        <f>(SUM([29]Sheet1!BD484:BD488)+SUM([29]Sheet1!BD491:BD495))/10^6+SUM([29]Sheet1!BD500:BD504)/10^6</f>
        <v>490.738833</v>
      </c>
      <c r="J64" s="1358"/>
      <c r="K64" s="1361">
        <f>(SUM([29]Sheet1!BG484:BG488)+SUM([29]Sheet1!BG491:BG495))/10^7+SUM([29]Sheet1!BG500:BG504)/10^7</f>
        <v>327.26347949400002</v>
      </c>
      <c r="L64" s="1358"/>
      <c r="M64" s="1361">
        <f t="shared" si="23"/>
        <v>327.26347949400002</v>
      </c>
      <c r="N64" s="1362">
        <f t="shared" ref="N64:N77" si="25">M64/I64*10</f>
        <v>6.6687911672561695</v>
      </c>
      <c r="O64" s="1361">
        <f t="shared" si="6"/>
        <v>1154.5711670000001</v>
      </c>
      <c r="P64" s="1361">
        <f t="shared" si="7"/>
        <v>572.72652050600004</v>
      </c>
    </row>
    <row r="65" spans="1:16" ht="20.25" customHeight="1" x14ac:dyDescent="0.25">
      <c r="A65" s="1360" t="s">
        <v>1050</v>
      </c>
      <c r="B65" s="1358"/>
      <c r="C65" s="1358"/>
      <c r="D65" s="1358"/>
      <c r="E65" s="1358"/>
      <c r="F65" s="1358"/>
      <c r="G65" s="1372">
        <f t="shared" si="21"/>
        <v>0</v>
      </c>
      <c r="H65" s="1373"/>
      <c r="I65" s="1361">
        <f>SUM([29]Sheet1!BD534:BD607)/10^6</f>
        <v>233.35024565000001</v>
      </c>
      <c r="J65" s="1358"/>
      <c r="K65" s="1361">
        <f>SUM([29]Sheet1!BG534:BG607)/10^7</f>
        <v>150.19179911500001</v>
      </c>
      <c r="L65" s="1358"/>
      <c r="M65" s="1361">
        <f t="shared" si="23"/>
        <v>150.19179911500001</v>
      </c>
      <c r="N65" s="1362">
        <f t="shared" si="25"/>
        <v>6.4363248770807546</v>
      </c>
      <c r="O65" s="1361">
        <f t="shared" si="6"/>
        <v>-233.35024565000001</v>
      </c>
      <c r="P65" s="1361">
        <f t="shared" si="7"/>
        <v>-150.19179911500001</v>
      </c>
    </row>
    <row r="66" spans="1:16" ht="20.25" customHeight="1" x14ac:dyDescent="0.25">
      <c r="A66" s="1360" t="s">
        <v>1051</v>
      </c>
      <c r="B66" s="1358"/>
      <c r="C66" s="1358"/>
      <c r="D66" s="1358"/>
      <c r="E66" s="1358"/>
      <c r="F66" s="1358"/>
      <c r="G66" s="1372">
        <f t="shared" si="21"/>
        <v>0</v>
      </c>
      <c r="H66" s="1373"/>
      <c r="I66" s="1361">
        <f>(SUM([29]Sheet1!BD496:BD499)+SUM([29]Sheet1!BD505:BD533))/10^6+SUM([29]Sheet1!BD622:BD637)/10^6</f>
        <v>1157.76084775</v>
      </c>
      <c r="J66" s="1361"/>
      <c r="K66" s="1361">
        <f>(SUM([29]Sheet1!BG496:BG499)+SUM([29]Sheet1!BG505:BG533))/10^7+SUM([29]Sheet1!BG622:BG637)/10^7+10.31+0.15</f>
        <v>516.50169007</v>
      </c>
      <c r="L66" s="1358"/>
      <c r="M66" s="1361">
        <f t="shared" si="23"/>
        <v>516.50169007</v>
      </c>
      <c r="N66" s="1362">
        <f t="shared" si="25"/>
        <v>4.4612122708569109</v>
      </c>
      <c r="O66" s="1361">
        <f t="shared" si="6"/>
        <v>-1157.76084775</v>
      </c>
      <c r="P66" s="1361">
        <f t="shared" si="7"/>
        <v>-516.50169007</v>
      </c>
    </row>
    <row r="67" spans="1:16" ht="20.25" customHeight="1" x14ac:dyDescent="0.25">
      <c r="A67" s="1360" t="s">
        <v>1160</v>
      </c>
      <c r="B67" s="1358"/>
      <c r="C67" s="1358">
        <v>798.61</v>
      </c>
      <c r="D67" s="1358"/>
      <c r="E67" s="1358">
        <v>359.51</v>
      </c>
      <c r="F67" s="1358"/>
      <c r="G67" s="1372">
        <f t="shared" si="21"/>
        <v>359.51</v>
      </c>
      <c r="H67" s="1373">
        <f t="shared" si="22"/>
        <v>4.5016966980127968</v>
      </c>
      <c r="I67" s="1361">
        <f>([29]Sheet1!BD489+[29]Sheet1!BD490)/10^6</f>
        <v>963.99306100000001</v>
      </c>
      <c r="J67" s="1358"/>
      <c r="K67" s="1358">
        <f>([29]Sheet1!BG489+[29]Sheet1!BG490)/10^7</f>
        <v>427.40882409599999</v>
      </c>
      <c r="L67" s="1358"/>
      <c r="M67" s="1361">
        <f t="shared" si="23"/>
        <v>427.40882409599999</v>
      </c>
      <c r="N67" s="1362">
        <f t="shared" si="25"/>
        <v>4.4337334093735761</v>
      </c>
      <c r="O67" s="1361">
        <f t="shared" si="6"/>
        <v>-165.383061</v>
      </c>
      <c r="P67" s="1361">
        <f t="shared" si="7"/>
        <v>-67.898824095999998</v>
      </c>
    </row>
    <row r="68" spans="1:16" ht="20.25" customHeight="1" x14ac:dyDescent="0.25">
      <c r="A68" s="1360" t="s">
        <v>1161</v>
      </c>
      <c r="B68" s="1358"/>
      <c r="C68" s="1358">
        <v>776.42</v>
      </c>
      <c r="D68" s="1358"/>
      <c r="E68" s="1358">
        <v>224.38</v>
      </c>
      <c r="F68" s="1358"/>
      <c r="G68" s="1372">
        <f t="shared" si="21"/>
        <v>224.38</v>
      </c>
      <c r="H68" s="1373">
        <f t="shared" si="22"/>
        <v>2.8899307076067076</v>
      </c>
      <c r="I68" s="1361">
        <f>SUM([29]Sheet1!BD608:BD621)/10^6</f>
        <v>1193.392474</v>
      </c>
      <c r="J68" s="1358"/>
      <c r="K68" s="1358">
        <f>SUM([29]Sheet1!BG608:BG621)/10^7</f>
        <v>337.179095754</v>
      </c>
      <c r="L68" s="1358"/>
      <c r="M68" s="1361">
        <f t="shared" si="23"/>
        <v>337.179095754</v>
      </c>
      <c r="N68" s="1362">
        <f t="shared" si="25"/>
        <v>2.8253831249986581</v>
      </c>
      <c r="O68" s="1361">
        <f t="shared" si="6"/>
        <v>-416.97247400000003</v>
      </c>
      <c r="P68" s="1361">
        <f t="shared" si="7"/>
        <v>-112.79909575400001</v>
      </c>
    </row>
    <row r="69" spans="1:16" ht="20.25" customHeight="1" x14ac:dyDescent="0.25">
      <c r="A69" s="1360" t="s">
        <v>1053</v>
      </c>
      <c r="B69" s="1358"/>
      <c r="C69" s="1358">
        <v>56.21</v>
      </c>
      <c r="D69" s="1358"/>
      <c r="E69" s="1358">
        <v>59.19</v>
      </c>
      <c r="F69" s="1358"/>
      <c r="G69" s="1372">
        <f t="shared" si="21"/>
        <v>59.19</v>
      </c>
      <c r="H69" s="1373">
        <f t="shared" si="22"/>
        <v>10.530154776730118</v>
      </c>
      <c r="I69" s="1361">
        <f>[29]Sheet1!BD482/10^6</f>
        <v>51.918236960834001</v>
      </c>
      <c r="J69" s="1358"/>
      <c r="K69" s="1358">
        <f>[29]Sheet1!BG482/10^7</f>
        <v>57.110682699999998</v>
      </c>
      <c r="L69" s="1358"/>
      <c r="M69" s="1361">
        <f t="shared" si="23"/>
        <v>57.110682699999998</v>
      </c>
      <c r="N69" s="1362">
        <f t="shared" si="25"/>
        <v>11.000119812058154</v>
      </c>
      <c r="O69" s="1361">
        <f t="shared" si="6"/>
        <v>4.2917630391659998</v>
      </c>
      <c r="P69" s="1361">
        <f t="shared" si="7"/>
        <v>2.0793172999999996</v>
      </c>
    </row>
    <row r="70" spans="1:16" ht="20.25" customHeight="1" x14ac:dyDescent="0.25">
      <c r="A70" s="1360" t="s">
        <v>1054</v>
      </c>
      <c r="B70" s="1358"/>
      <c r="C70" s="1358">
        <v>463.9</v>
      </c>
      <c r="D70" s="1358"/>
      <c r="E70" s="1358">
        <v>220.35</v>
      </c>
      <c r="F70" s="1358"/>
      <c r="G70" s="1372">
        <f t="shared" si="21"/>
        <v>220.35</v>
      </c>
      <c r="H70" s="1373">
        <f t="shared" si="22"/>
        <v>4.749946109075232</v>
      </c>
      <c r="I70" s="1361">
        <f>[29]Sheet1!BD483/10^6</f>
        <v>598.16299047769996</v>
      </c>
      <c r="J70" s="1358"/>
      <c r="K70" s="1358">
        <f>[29]Sheet1!BG483/10^7</f>
        <v>271.64351797770956</v>
      </c>
      <c r="L70" s="1358"/>
      <c r="M70" s="1361">
        <f t="shared" si="23"/>
        <v>271.64351797770956</v>
      </c>
      <c r="N70" s="1362">
        <f t="shared" si="25"/>
        <v>4.5412959728714055</v>
      </c>
      <c r="O70" s="1361">
        <f t="shared" si="6"/>
        <v>-134.26299047769999</v>
      </c>
      <c r="P70" s="1361">
        <f t="shared" si="7"/>
        <v>-51.29351797770957</v>
      </c>
    </row>
    <row r="71" spans="1:16" ht="20.25" customHeight="1" x14ac:dyDescent="0.25">
      <c r="A71" s="1360" t="s">
        <v>1055</v>
      </c>
      <c r="B71" s="1358"/>
      <c r="C71" s="1358">
        <v>3</v>
      </c>
      <c r="D71" s="1358"/>
      <c r="E71" s="1358">
        <v>1.07</v>
      </c>
      <c r="F71" s="1358"/>
      <c r="G71" s="1372">
        <f t="shared" si="21"/>
        <v>1.07</v>
      </c>
      <c r="H71" s="1373">
        <f t="shared" si="22"/>
        <v>3.5666666666666669</v>
      </c>
      <c r="I71" s="1361">
        <f>'[29]Actuals apprd'!F79</f>
        <v>4.0019790000000004</v>
      </c>
      <c r="J71" s="1358"/>
      <c r="K71" s="1361">
        <f>'[29]Actuals apprd'!M79</f>
        <v>2.4095818000000002</v>
      </c>
      <c r="L71" s="1358"/>
      <c r="M71" s="1361">
        <f t="shared" si="23"/>
        <v>2.4095818000000002</v>
      </c>
      <c r="N71" s="1362">
        <f t="shared" si="25"/>
        <v>6.0209756223108615</v>
      </c>
      <c r="O71" s="1361">
        <f t="shared" si="6"/>
        <v>-1.0019790000000004</v>
      </c>
      <c r="P71" s="1361">
        <f t="shared" si="7"/>
        <v>-1.3395818000000002</v>
      </c>
    </row>
    <row r="72" spans="1:16" ht="20.25" customHeight="1" x14ac:dyDescent="0.25">
      <c r="A72" s="1360" t="s">
        <v>1171</v>
      </c>
      <c r="B72" s="1358"/>
      <c r="C72" s="1358"/>
      <c r="D72" s="1358"/>
      <c r="E72" s="1358"/>
      <c r="F72" s="1358"/>
      <c r="G72" s="1372"/>
      <c r="H72" s="1373"/>
      <c r="I72" s="1361">
        <f>'[29]Actuals apprd'!F83</f>
        <v>90.674231000000006</v>
      </c>
      <c r="J72" s="1358"/>
      <c r="K72" s="1361">
        <f>'[29]Actuals apprd'!K83</f>
        <v>44.639678000000004</v>
      </c>
      <c r="L72" s="1358"/>
      <c r="M72" s="1361">
        <f t="shared" si="23"/>
        <v>44.639678000000004</v>
      </c>
      <c r="N72" s="1362"/>
      <c r="O72" s="1361"/>
      <c r="P72" s="1361"/>
    </row>
    <row r="73" spans="1:16" ht="20.25" customHeight="1" x14ac:dyDescent="0.25">
      <c r="A73" s="1360" t="s">
        <v>1172</v>
      </c>
      <c r="B73" s="1358"/>
      <c r="C73" s="1358"/>
      <c r="D73" s="1358"/>
      <c r="E73" s="1358"/>
      <c r="F73" s="1358"/>
      <c r="G73" s="1372"/>
      <c r="H73" s="1373"/>
      <c r="I73" s="1361">
        <f>'[29]Actuals apprd'!F84+'[29]Actuals apprd'!F85</f>
        <v>42.1</v>
      </c>
      <c r="J73" s="1358"/>
      <c r="K73" s="1361">
        <v>5.03</v>
      </c>
      <c r="L73" s="1358"/>
      <c r="M73" s="1361">
        <f t="shared" si="23"/>
        <v>5.03</v>
      </c>
      <c r="N73" s="1362"/>
      <c r="O73" s="1361"/>
      <c r="P73" s="1361"/>
    </row>
    <row r="74" spans="1:16" ht="20.25" customHeight="1" x14ac:dyDescent="0.25">
      <c r="A74" s="1363" t="s">
        <v>1030</v>
      </c>
      <c r="B74" s="1358"/>
      <c r="C74" s="1364">
        <f>SUM(C57:C71)</f>
        <v>6850.5299999999988</v>
      </c>
      <c r="D74" s="1364">
        <f>SUM(D57:D71)</f>
        <v>0</v>
      </c>
      <c r="E74" s="1364">
        <f>SUM(E57:E71)</f>
        <v>2867.98</v>
      </c>
      <c r="F74" s="1364">
        <f>SUM(F57:F71)</f>
        <v>0</v>
      </c>
      <c r="G74" s="1364">
        <f>SUM(G57:G71)</f>
        <v>2867.98</v>
      </c>
      <c r="H74" s="1365">
        <f t="shared" si="22"/>
        <v>4.1865081971759857</v>
      </c>
      <c r="I74" s="1365">
        <f>SUM(I57:I73)</f>
        <v>8131.2289756004047</v>
      </c>
      <c r="J74" s="1364">
        <f>SUM(J57:J71)</f>
        <v>0</v>
      </c>
      <c r="K74" s="1365">
        <f>SUM(K57:K73)</f>
        <v>3379.4230440125048</v>
      </c>
      <c r="L74" s="1364">
        <f>SUM(L57:L73)</f>
        <v>0</v>
      </c>
      <c r="M74" s="1365">
        <f>SUM(M57:M73)</f>
        <v>3379.4230440125048</v>
      </c>
      <c r="N74" s="1362">
        <f t="shared" si="25"/>
        <v>4.1561036519242407</v>
      </c>
      <c r="O74" s="1361">
        <f t="shared" ref="O74:O92" si="26">C74-I74</f>
        <v>-1280.6989756004059</v>
      </c>
      <c r="P74" s="1361">
        <f t="shared" ref="P74:P92" si="27">G74-M74</f>
        <v>-511.44304401250474</v>
      </c>
    </row>
    <row r="75" spans="1:16" ht="20.25" customHeight="1" x14ac:dyDescent="0.25">
      <c r="A75" s="1363" t="s">
        <v>1162</v>
      </c>
      <c r="B75" s="1358"/>
      <c r="C75" s="1358">
        <v>235.21</v>
      </c>
      <c r="D75" s="1358"/>
      <c r="E75" s="1358">
        <v>95.02</v>
      </c>
      <c r="F75" s="1358"/>
      <c r="G75" s="1372">
        <f>E75+D75</f>
        <v>95.02</v>
      </c>
      <c r="H75" s="1373">
        <f>G75/C75*10</f>
        <v>4.0397942264359505</v>
      </c>
      <c r="I75" s="1361">
        <f>'[29]Actuals apprd'!F60</f>
        <v>150.40623995908101</v>
      </c>
      <c r="J75" s="1358"/>
      <c r="K75" s="1361">
        <f>'[29]Actuals apprd'!K60</f>
        <v>77.079736999999994</v>
      </c>
      <c r="L75" s="1358"/>
      <c r="M75" s="1361">
        <f t="shared" si="23"/>
        <v>77.079736999999994</v>
      </c>
      <c r="N75" s="1362">
        <f t="shared" si="25"/>
        <v>5.124769891260498</v>
      </c>
      <c r="O75" s="1361">
        <f t="shared" si="26"/>
        <v>84.803760040919002</v>
      </c>
      <c r="P75" s="1361">
        <f t="shared" si="27"/>
        <v>17.940263000000002</v>
      </c>
    </row>
    <row r="76" spans="1:16" ht="20.25" customHeight="1" x14ac:dyDescent="0.25">
      <c r="A76" s="1363" t="s">
        <v>1163</v>
      </c>
      <c r="B76" s="1358"/>
      <c r="C76" s="1358">
        <v>937.92</v>
      </c>
      <c r="D76" s="1358"/>
      <c r="E76" s="1358">
        <v>277.62</v>
      </c>
      <c r="F76" s="1358"/>
      <c r="G76" s="1372">
        <f>E76+D76</f>
        <v>277.62</v>
      </c>
      <c r="H76" s="1373">
        <f>G76/C76*10</f>
        <v>2.959953940634596</v>
      </c>
      <c r="I76" s="1361">
        <f>'[29]Actuals apprd'!F61</f>
        <v>732.26582524899993</v>
      </c>
      <c r="J76" s="1358"/>
      <c r="K76" s="1361">
        <f>'[29]Actuals apprd'!H61</f>
        <v>297.87219909999999</v>
      </c>
      <c r="L76" s="1358"/>
      <c r="M76" s="1361">
        <f t="shared" si="23"/>
        <v>297.87219909999999</v>
      </c>
      <c r="N76" s="1362">
        <f t="shared" si="25"/>
        <v>4.0678151134352261</v>
      </c>
      <c r="O76" s="1361">
        <f t="shared" si="26"/>
        <v>205.65417475100003</v>
      </c>
      <c r="P76" s="1361">
        <f t="shared" si="27"/>
        <v>-20.252199099999984</v>
      </c>
    </row>
    <row r="77" spans="1:16" ht="20.25" customHeight="1" x14ac:dyDescent="0.25">
      <c r="A77" s="1363" t="s">
        <v>1032</v>
      </c>
      <c r="B77" s="1358"/>
      <c r="C77" s="1358">
        <v>575</v>
      </c>
      <c r="D77" s="1358"/>
      <c r="E77" s="1358">
        <v>269.68</v>
      </c>
      <c r="F77" s="1358"/>
      <c r="G77" s="1372">
        <f>E77+D77</f>
        <v>269.68</v>
      </c>
      <c r="H77" s="1373">
        <f>G77/C77*10</f>
        <v>4.6900869565217391</v>
      </c>
      <c r="I77" s="1361">
        <f>'[29]Actuals apprd'!F74</f>
        <v>751.95875636884796</v>
      </c>
      <c r="J77" s="1358"/>
      <c r="K77" s="1361">
        <f>'[29]Actuals apprd'!K74</f>
        <v>361.7279887999008</v>
      </c>
      <c r="L77" s="1358"/>
      <c r="M77" s="1361">
        <f t="shared" si="23"/>
        <v>361.7279887999008</v>
      </c>
      <c r="N77" s="1362">
        <f t="shared" si="25"/>
        <v>4.8104764488235761</v>
      </c>
      <c r="O77" s="1361">
        <f t="shared" si="26"/>
        <v>-176.95875636884796</v>
      </c>
      <c r="P77" s="1361">
        <f t="shared" si="27"/>
        <v>-92.047988799900793</v>
      </c>
    </row>
    <row r="78" spans="1:16" ht="20.25" customHeight="1" x14ac:dyDescent="0.25">
      <c r="A78" s="1363" t="s">
        <v>1164</v>
      </c>
      <c r="B78" s="1358"/>
      <c r="C78" s="1358"/>
      <c r="D78" s="1358"/>
      <c r="E78" s="1358"/>
      <c r="F78" s="1358"/>
      <c r="G78" s="1358"/>
      <c r="H78" s="1358"/>
      <c r="I78" s="1361">
        <f>'[29]Actuals apprd'!F104</f>
        <v>-20.060350093283706</v>
      </c>
      <c r="J78" s="1358"/>
      <c r="K78" s="1361">
        <f>'[29]Actuals apprd'!K104</f>
        <v>3.9028204999999998</v>
      </c>
      <c r="L78" s="1358"/>
      <c r="M78" s="1361">
        <f t="shared" si="23"/>
        <v>3.9028204999999998</v>
      </c>
      <c r="N78" s="1362"/>
      <c r="O78" s="1361">
        <f t="shared" si="26"/>
        <v>20.060350093283706</v>
      </c>
      <c r="P78" s="1361">
        <f t="shared" si="27"/>
        <v>-3.9028204999999998</v>
      </c>
    </row>
    <row r="79" spans="1:16" ht="20.25" customHeight="1" x14ac:dyDescent="0.25">
      <c r="A79" s="1360" t="s">
        <v>1173</v>
      </c>
      <c r="B79" s="1358"/>
      <c r="C79" s="1358"/>
      <c r="D79" s="1358"/>
      <c r="E79" s="1358"/>
      <c r="F79" s="1358"/>
      <c r="G79" s="1358"/>
      <c r="H79" s="1358"/>
      <c r="I79" s="1358"/>
      <c r="J79" s="1358"/>
      <c r="K79" s="1358">
        <v>3.49</v>
      </c>
      <c r="L79" s="1358"/>
      <c r="M79" s="1361">
        <f>'[29]Actuals apprd'!N102</f>
        <v>3.4881399000000002</v>
      </c>
      <c r="N79" s="1358"/>
      <c r="O79" s="1361">
        <f t="shared" si="26"/>
        <v>0</v>
      </c>
      <c r="P79" s="1361">
        <f t="shared" si="27"/>
        <v>-3.4881399000000002</v>
      </c>
    </row>
    <row r="80" spans="1:16" ht="20.25" customHeight="1" x14ac:dyDescent="0.25">
      <c r="A80" s="1360"/>
      <c r="B80" s="1358"/>
      <c r="C80" s="1358"/>
      <c r="D80" s="1358"/>
      <c r="E80" s="1358"/>
      <c r="F80" s="1358"/>
      <c r="G80" s="1358"/>
      <c r="H80" s="1358"/>
      <c r="I80" s="1358"/>
      <c r="J80" s="1358"/>
      <c r="K80" s="1358"/>
      <c r="L80" s="1358"/>
      <c r="M80" s="1358"/>
      <c r="N80" s="1358"/>
      <c r="O80" s="1361">
        <f t="shared" si="26"/>
        <v>0</v>
      </c>
      <c r="P80" s="1361">
        <f t="shared" si="27"/>
        <v>0</v>
      </c>
    </row>
    <row r="81" spans="1:16" ht="15" customHeight="1" x14ac:dyDescent="0.25">
      <c r="A81" s="1360"/>
      <c r="B81" s="1358"/>
      <c r="C81" s="1358"/>
      <c r="D81" s="1358"/>
      <c r="E81" s="1358"/>
      <c r="F81" s="1358"/>
      <c r="G81" s="1358"/>
      <c r="H81" s="1358"/>
      <c r="I81" s="1358"/>
      <c r="J81" s="1358"/>
      <c r="K81" s="1358"/>
      <c r="L81" s="1358"/>
      <c r="M81" s="1358"/>
      <c r="N81" s="1358"/>
      <c r="O81" s="1361">
        <f t="shared" si="26"/>
        <v>0</v>
      </c>
      <c r="P81" s="1361">
        <f t="shared" si="27"/>
        <v>0</v>
      </c>
    </row>
    <row r="82" spans="1:16" ht="20.25" customHeight="1" x14ac:dyDescent="0.25">
      <c r="A82" s="1360" t="s">
        <v>1034</v>
      </c>
      <c r="B82" s="1358"/>
      <c r="C82" s="1358"/>
      <c r="D82" s="1358"/>
      <c r="E82" s="1358"/>
      <c r="F82" s="1358"/>
      <c r="G82" s="1358"/>
      <c r="H82" s="1358"/>
      <c r="I82" s="1358"/>
      <c r="J82" s="1358"/>
      <c r="K82" s="1358"/>
      <c r="L82" s="1358"/>
      <c r="M82" s="1358"/>
      <c r="N82" s="1358"/>
      <c r="O82" s="1361">
        <f t="shared" si="26"/>
        <v>0</v>
      </c>
      <c r="P82" s="1361">
        <f t="shared" si="27"/>
        <v>0</v>
      </c>
    </row>
    <row r="83" spans="1:16" ht="20.25" customHeight="1" x14ac:dyDescent="0.25">
      <c r="A83" s="1360" t="s">
        <v>1035</v>
      </c>
      <c r="B83" s="1358"/>
      <c r="C83" s="1358"/>
      <c r="D83" s="1358">
        <v>829.46</v>
      </c>
      <c r="E83" s="1358"/>
      <c r="F83" s="1358"/>
      <c r="G83" s="1372">
        <f>E83+D83</f>
        <v>829.46</v>
      </c>
      <c r="H83" s="1358"/>
      <c r="I83" s="1358"/>
      <c r="J83" s="1358"/>
      <c r="K83" s="1361">
        <f>'[29]Actuals apprd'!K59</f>
        <v>1630.1434899000001</v>
      </c>
      <c r="L83" s="1358"/>
      <c r="M83" s="1361">
        <f t="shared" ref="M83:M89" si="28">K83+J83</f>
        <v>1630.1434899000001</v>
      </c>
      <c r="N83" s="1358"/>
      <c r="O83" s="1361">
        <f t="shared" si="26"/>
        <v>0</v>
      </c>
      <c r="P83" s="1361">
        <f t="shared" si="27"/>
        <v>-800.68348990000004</v>
      </c>
    </row>
    <row r="84" spans="1:16" ht="20.25" customHeight="1" x14ac:dyDescent="0.25">
      <c r="A84" s="1360" t="s">
        <v>1036</v>
      </c>
      <c r="B84" s="1358"/>
      <c r="C84" s="1358"/>
      <c r="D84" s="1358">
        <v>1741.81</v>
      </c>
      <c r="E84" s="1358"/>
      <c r="F84" s="1358"/>
      <c r="G84" s="1372">
        <f>E84+D84</f>
        <v>1741.81</v>
      </c>
      <c r="H84" s="1358"/>
      <c r="I84" s="1358"/>
      <c r="J84" s="1358"/>
      <c r="K84" s="1361">
        <f>'[29]Actuals apprd'!N108</f>
        <v>1741.8089808</v>
      </c>
      <c r="L84" s="1358"/>
      <c r="M84" s="1361">
        <f t="shared" si="28"/>
        <v>1741.8089808</v>
      </c>
      <c r="N84" s="1358"/>
      <c r="O84" s="1361">
        <f t="shared" si="26"/>
        <v>0</v>
      </c>
      <c r="P84" s="1361">
        <f t="shared" si="27"/>
        <v>1.0191999999733525E-3</v>
      </c>
    </row>
    <row r="85" spans="1:16" ht="20.25" customHeight="1" x14ac:dyDescent="0.25">
      <c r="A85" s="1360" t="s">
        <v>1037</v>
      </c>
      <c r="B85" s="1358"/>
      <c r="C85" s="1358"/>
      <c r="D85" s="1358">
        <v>9.81</v>
      </c>
      <c r="E85" s="1358"/>
      <c r="F85" s="1358"/>
      <c r="G85" s="1372">
        <f>E85+D85</f>
        <v>9.81</v>
      </c>
      <c r="H85" s="1358"/>
      <c r="I85" s="1358"/>
      <c r="J85" s="1358"/>
      <c r="K85" s="1361">
        <f>'[29]Actuals apprd'!N109</f>
        <v>9.81</v>
      </c>
      <c r="L85" s="1358"/>
      <c r="M85" s="1361">
        <f t="shared" si="28"/>
        <v>9.81</v>
      </c>
      <c r="N85" s="1358"/>
      <c r="O85" s="1361">
        <f t="shared" si="26"/>
        <v>0</v>
      </c>
      <c r="P85" s="1361">
        <f t="shared" si="27"/>
        <v>0</v>
      </c>
    </row>
    <row r="86" spans="1:16" ht="20.25" customHeight="1" x14ac:dyDescent="0.25">
      <c r="A86" s="1357" t="s">
        <v>1174</v>
      </c>
      <c r="B86" s="1358"/>
      <c r="C86" s="1358"/>
      <c r="D86" s="1358">
        <v>1.37</v>
      </c>
      <c r="E86" s="1358"/>
      <c r="F86" s="1358"/>
      <c r="G86" s="1372">
        <f>E86+D86</f>
        <v>1.37</v>
      </c>
      <c r="H86" s="1358"/>
      <c r="I86" s="1358"/>
      <c r="J86" s="1358"/>
      <c r="K86" s="1361">
        <f>'[29]Actuals apprd'!N114</f>
        <v>6.2631177999999998</v>
      </c>
      <c r="L86" s="1358"/>
      <c r="M86" s="1361">
        <f t="shared" si="28"/>
        <v>6.2631177999999998</v>
      </c>
      <c r="N86" s="1358"/>
      <c r="O86" s="1361">
        <f t="shared" si="26"/>
        <v>0</v>
      </c>
      <c r="P86" s="1361">
        <f t="shared" si="27"/>
        <v>-4.8931177999999997</v>
      </c>
    </row>
    <row r="87" spans="1:16" ht="20.25" customHeight="1" x14ac:dyDescent="0.25">
      <c r="A87" s="1357" t="s">
        <v>1165</v>
      </c>
      <c r="B87" s="1358"/>
      <c r="C87" s="1358"/>
      <c r="D87" s="1358"/>
      <c r="E87" s="1358"/>
      <c r="F87" s="1358"/>
      <c r="G87" s="1358"/>
      <c r="H87" s="1358"/>
      <c r="I87" s="1361">
        <f>'[29]Actuals apprd'!F111</f>
        <v>1702.856</v>
      </c>
      <c r="J87" s="1358"/>
      <c r="K87" s="1361">
        <f>'[29]Actuals apprd'!K111</f>
        <v>706.73950439999999</v>
      </c>
      <c r="L87" s="1358"/>
      <c r="M87" s="1361">
        <f t="shared" si="28"/>
        <v>706.73950439999999</v>
      </c>
      <c r="N87" s="1358"/>
      <c r="O87" s="1361">
        <f t="shared" si="26"/>
        <v>-1702.856</v>
      </c>
      <c r="P87" s="1361">
        <f t="shared" si="27"/>
        <v>-706.73950439999999</v>
      </c>
    </row>
    <row r="88" spans="1:16" ht="20.25" customHeight="1" x14ac:dyDescent="0.25">
      <c r="A88" s="1357" t="s">
        <v>1175</v>
      </c>
      <c r="B88" s="1358"/>
      <c r="C88" s="1358"/>
      <c r="D88" s="1358"/>
      <c r="E88" s="1358"/>
      <c r="F88" s="1358"/>
      <c r="G88" s="1358"/>
      <c r="H88" s="1358"/>
      <c r="I88" s="1361">
        <f>'[29]Actuals apprd'!F112</f>
        <v>20.582668000000002</v>
      </c>
      <c r="J88" s="1358"/>
      <c r="K88" s="1361">
        <f>'[29]Actuals apprd'!K112</f>
        <v>8.6639949999999999</v>
      </c>
      <c r="L88" s="1358"/>
      <c r="M88" s="1361">
        <f t="shared" si="28"/>
        <v>8.6639949999999999</v>
      </c>
      <c r="N88" s="1358"/>
      <c r="O88" s="1361"/>
      <c r="P88" s="1361"/>
    </row>
    <row r="89" spans="1:16" ht="20.25" customHeight="1" x14ac:dyDescent="0.25">
      <c r="A89" s="1357" t="s">
        <v>1166</v>
      </c>
      <c r="B89" s="1358"/>
      <c r="C89" s="1358"/>
      <c r="D89" s="1358"/>
      <c r="E89" s="1358"/>
      <c r="F89" s="1358"/>
      <c r="G89" s="1358"/>
      <c r="H89" s="1358"/>
      <c r="I89" s="1361">
        <f>'[29]Actuals apprd'!F106</f>
        <v>-726.43442100000004</v>
      </c>
      <c r="J89" s="1358"/>
      <c r="K89" s="1361">
        <f>'[29]Actuals apprd'!K106</f>
        <v>-200.41</v>
      </c>
      <c r="L89" s="1358"/>
      <c r="M89" s="1361">
        <f t="shared" si="28"/>
        <v>-200.41</v>
      </c>
      <c r="N89" s="1358"/>
      <c r="O89" s="1361">
        <f t="shared" si="26"/>
        <v>726.43442100000004</v>
      </c>
      <c r="P89" s="1361">
        <f t="shared" si="27"/>
        <v>200.41</v>
      </c>
    </row>
    <row r="90" spans="1:16" ht="20.25" customHeight="1" x14ac:dyDescent="0.25">
      <c r="A90" s="1357" t="s">
        <v>1176</v>
      </c>
      <c r="B90" s="1358"/>
      <c r="C90" s="1358"/>
      <c r="D90" s="1358"/>
      <c r="E90" s="1358"/>
      <c r="F90" s="1358"/>
      <c r="G90" s="1358"/>
      <c r="H90" s="1358"/>
      <c r="I90" s="1361"/>
      <c r="J90" s="1358"/>
      <c r="K90" s="1361"/>
      <c r="L90" s="1358"/>
      <c r="M90" s="1361">
        <f>'[29]Actuals apprd'!N116</f>
        <v>72.788122599999994</v>
      </c>
      <c r="N90" s="1358"/>
      <c r="O90" s="1361"/>
      <c r="P90" s="1361">
        <f t="shared" si="27"/>
        <v>-72.788122599999994</v>
      </c>
    </row>
    <row r="91" spans="1:16" ht="20.25" customHeight="1" x14ac:dyDescent="0.25">
      <c r="A91" s="1357" t="s">
        <v>1177</v>
      </c>
      <c r="B91" s="1358"/>
      <c r="C91" s="1358"/>
      <c r="D91" s="1358"/>
      <c r="E91" s="1358"/>
      <c r="F91" s="1358"/>
      <c r="G91" s="1358"/>
      <c r="H91" s="1358"/>
      <c r="I91" s="1361"/>
      <c r="J91" s="1358"/>
      <c r="K91" s="1361"/>
      <c r="L91" s="1358"/>
      <c r="M91" s="1361">
        <f>'[29]Actuals apprd'!N117</f>
        <v>-138.99159090000001</v>
      </c>
      <c r="N91" s="1358"/>
      <c r="O91" s="1361"/>
      <c r="P91" s="1361">
        <f t="shared" si="27"/>
        <v>138.99159090000001</v>
      </c>
    </row>
    <row r="92" spans="1:16" ht="31.5" customHeight="1" x14ac:dyDescent="0.25">
      <c r="A92" s="1363" t="s">
        <v>1040</v>
      </c>
      <c r="B92" s="1358"/>
      <c r="C92" s="1364">
        <f>C12+C33+C35+C50+C54+C74+C75+C76+C77+C83+C84+C85+C86</f>
        <v>33960.54</v>
      </c>
      <c r="D92" s="1364">
        <f>D12+D33+D35+D50+D54+D74+D75+D76+D77+D83+D84+D85+D86</f>
        <v>6790.5400000000009</v>
      </c>
      <c r="E92" s="1364">
        <f>E12+E33+E35+E50+E54+E74+E75+E76+E77+E83+E84+E85+E86</f>
        <v>11509.800000000001</v>
      </c>
      <c r="F92" s="1364">
        <f>F12+F33+F35+F50+F54+F74+F75+F76+F77+F83+F84+F85+F86</f>
        <v>115.65976614249134</v>
      </c>
      <c r="G92" s="1364">
        <f>G12+G33+G35+G50+G54+G74+G75+G76+G77+G83+G84+G85+G86</f>
        <v>18300.340000000004</v>
      </c>
      <c r="H92" s="1365">
        <f>G92/C92*10</f>
        <v>5.3887070111370434</v>
      </c>
      <c r="I92" s="1374">
        <f>I12+I33+I35+I50+I54+I74+I75+I76+I77+I83+I84+I85+I86+I78+I87+I89+I88</f>
        <v>32392.694144619971</v>
      </c>
      <c r="J92" s="1364">
        <f>J12+J33+J35+J50+J54+J74+J75+J76+J77+J83+J84+J85+J86</f>
        <v>4186.510983862102</v>
      </c>
      <c r="K92" s="1365">
        <f>K12+K33+K35+K50+K54+K74+K75+K76+K77+K83+K84+K85+K86+K89+K87+K88</f>
        <v>15007.724628340302</v>
      </c>
      <c r="L92" s="1364"/>
      <c r="M92" s="1374">
        <f>M12+M33+M35+M50+M54+M74+M75+M76+M77+M83+M84+M85+M86+M78+M87+M89+M90+M91+M88+M79</f>
        <v>19144.94356137951</v>
      </c>
      <c r="N92" s="1362">
        <f>M92/I92*10</f>
        <v>5.9102659000530373</v>
      </c>
      <c r="O92" s="1361">
        <f t="shared" si="26"/>
        <v>1567.8458553800301</v>
      </c>
      <c r="P92" s="1361">
        <f t="shared" si="27"/>
        <v>-844.60356137950657</v>
      </c>
    </row>
    <row r="93" spans="1:16" x14ac:dyDescent="0.25">
      <c r="I93" s="1375">
        <f>'[29]Actuals apprd'!F119</f>
        <v>32392.694144619971</v>
      </c>
      <c r="M93" s="1375">
        <f>'[29]Actuals apprd'!N119</f>
        <v>19144.941717881087</v>
      </c>
    </row>
    <row r="95" spans="1:16" x14ac:dyDescent="0.25">
      <c r="I95" s="1375"/>
      <c r="K95" s="1375"/>
      <c r="M95" s="1375"/>
    </row>
    <row r="96" spans="1:16" x14ac:dyDescent="0.25">
      <c r="K96" s="1375">
        <f>M92-(J92+K83+K84+K85+K86)</f>
        <v>11570.406989017407</v>
      </c>
    </row>
    <row r="98" spans="9:13" x14ac:dyDescent="0.25">
      <c r="I98" s="1375"/>
    </row>
    <row r="99" spans="9:13" x14ac:dyDescent="0.25">
      <c r="M99" s="1375"/>
    </row>
    <row r="100" spans="9:13" x14ac:dyDescent="0.25">
      <c r="M100" s="1375"/>
    </row>
  </sheetData>
  <mergeCells count="7">
    <mergeCell ref="O3:P3"/>
    <mergeCell ref="B2:G2"/>
    <mergeCell ref="I2:M2"/>
    <mergeCell ref="E3:F3"/>
    <mergeCell ref="G3:H3"/>
    <mergeCell ref="K3:L3"/>
    <mergeCell ref="M3:N3"/>
  </mergeCells>
  <pageMargins left="0.98425196850393704" right="1.9685039370078741" top="0.98425196850393704" bottom="0.98425196850393704" header="0.51181102362204722" footer="0.51181102362204722"/>
  <pageSetup paperSize="8" scale="5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opLeftCell="A67" workbookViewId="0">
      <selection activeCell="R89" sqref="R89:R90"/>
    </sheetView>
  </sheetViews>
  <sheetFormatPr defaultRowHeight="15" x14ac:dyDescent="0.25"/>
  <cols>
    <col min="1" max="1" width="27.28515625" style="1342" customWidth="1"/>
    <col min="2" max="2" width="11.5703125" style="1342" customWidth="1"/>
    <col min="3" max="3" width="9.140625" style="1342"/>
    <col min="4" max="4" width="11.5703125" style="1342" bestFit="1" customWidth="1"/>
    <col min="5" max="10" width="9.140625" style="1342" customWidth="1"/>
    <col min="11" max="11" width="10.7109375" style="1342" customWidth="1"/>
    <col min="12" max="12" width="10.5703125" style="1342" bestFit="1" customWidth="1"/>
    <col min="13" max="16" width="9.140625" style="1342"/>
    <col min="17" max="17" width="11.5703125" style="1342" customWidth="1"/>
    <col min="18" max="16384" width="9.140625" style="1342"/>
  </cols>
  <sheetData>
    <row r="1" spans="1:19" ht="15" customHeight="1" x14ac:dyDescent="0.25">
      <c r="A1" s="1852" t="s">
        <v>1229</v>
      </c>
      <c r="B1" s="1841"/>
      <c r="C1" s="1841"/>
      <c r="D1" s="1841"/>
      <c r="E1" s="1841"/>
      <c r="F1" s="1841"/>
      <c r="G1" s="1841"/>
      <c r="H1" s="1841"/>
      <c r="I1" s="1841"/>
      <c r="J1" s="1841"/>
      <c r="K1" s="1841"/>
      <c r="L1" s="1841"/>
      <c r="M1" s="1841"/>
      <c r="N1" s="1841"/>
      <c r="O1" s="1841"/>
      <c r="P1" s="1841"/>
      <c r="Q1" s="1841"/>
      <c r="R1" s="1841" t="s">
        <v>1350</v>
      </c>
      <c r="S1" s="1841"/>
    </row>
    <row r="2" spans="1:19" ht="30" customHeight="1" x14ac:dyDescent="0.25">
      <c r="A2" s="1597"/>
      <c r="B2" s="1842" t="s">
        <v>1230</v>
      </c>
      <c r="C2" s="1842"/>
      <c r="D2" s="1842"/>
      <c r="E2" s="1842"/>
      <c r="F2" s="1842"/>
      <c r="G2" s="1842"/>
      <c r="H2" s="1598"/>
      <c r="I2" s="1843" t="s">
        <v>1231</v>
      </c>
      <c r="J2" s="1844"/>
      <c r="K2" s="1844"/>
      <c r="L2" s="1844"/>
      <c r="M2" s="1844"/>
      <c r="N2" s="1845"/>
      <c r="O2" s="1846" t="s">
        <v>1232</v>
      </c>
      <c r="P2" s="1846"/>
      <c r="Q2" s="1847" t="s">
        <v>119</v>
      </c>
      <c r="R2" s="1848"/>
      <c r="S2" s="1849"/>
    </row>
    <row r="3" spans="1:19" ht="78.75" customHeight="1" x14ac:dyDescent="0.25">
      <c r="A3" s="1599" t="s">
        <v>958</v>
      </c>
      <c r="B3" s="1600" t="s">
        <v>1150</v>
      </c>
      <c r="C3" s="1600" t="s">
        <v>1151</v>
      </c>
      <c r="D3" s="1600" t="s">
        <v>1152</v>
      </c>
      <c r="E3" s="1850" t="s">
        <v>1153</v>
      </c>
      <c r="F3" s="1851"/>
      <c r="G3" s="1850" t="s">
        <v>1154</v>
      </c>
      <c r="H3" s="1851"/>
      <c r="I3" s="1600" t="s">
        <v>1151</v>
      </c>
      <c r="J3" s="1600" t="s">
        <v>1152</v>
      </c>
      <c r="K3" s="1850" t="s">
        <v>1153</v>
      </c>
      <c r="L3" s="1851"/>
      <c r="M3" s="1846" t="s">
        <v>1233</v>
      </c>
      <c r="N3" s="1846"/>
      <c r="O3" s="1600" t="s">
        <v>1234</v>
      </c>
      <c r="P3" s="1600" t="s">
        <v>1235</v>
      </c>
      <c r="Q3" s="1600" t="s">
        <v>1234</v>
      </c>
      <c r="R3" s="1600" t="s">
        <v>1235</v>
      </c>
      <c r="S3" s="1600" t="s">
        <v>1157</v>
      </c>
    </row>
    <row r="4" spans="1:19" ht="60" customHeight="1" x14ac:dyDescent="0.25">
      <c r="A4" s="1599"/>
      <c r="B4" s="1600"/>
      <c r="C4" s="1600"/>
      <c r="D4" s="1600" t="s">
        <v>1155</v>
      </c>
      <c r="E4" s="1600" t="s">
        <v>1156</v>
      </c>
      <c r="F4" s="1600" t="s">
        <v>1157</v>
      </c>
      <c r="G4" s="1600" t="s">
        <v>1156</v>
      </c>
      <c r="H4" s="1600" t="s">
        <v>1157</v>
      </c>
      <c r="I4" s="1600"/>
      <c r="J4" s="1600" t="s">
        <v>1155</v>
      </c>
      <c r="K4" s="1600" t="s">
        <v>1156</v>
      </c>
      <c r="L4" s="1600" t="s">
        <v>1157</v>
      </c>
      <c r="M4" s="1600" t="s">
        <v>1156</v>
      </c>
      <c r="N4" s="1600" t="s">
        <v>1157</v>
      </c>
      <c r="O4" s="361"/>
      <c r="P4" s="361"/>
      <c r="Q4" s="361"/>
      <c r="R4" s="361"/>
      <c r="S4" s="361"/>
    </row>
    <row r="5" spans="1:19" ht="31.5" x14ac:dyDescent="0.25">
      <c r="A5" s="1601" t="s">
        <v>972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1602"/>
      <c r="N5" s="1602"/>
      <c r="O5" s="361"/>
      <c r="P5" s="361"/>
      <c r="Q5" s="361"/>
      <c r="R5" s="361"/>
      <c r="S5" s="361"/>
    </row>
    <row r="6" spans="1:19" ht="47.25" x14ac:dyDescent="0.25">
      <c r="A6" s="1603" t="s">
        <v>973</v>
      </c>
      <c r="B6" s="361">
        <v>66.785399999999996</v>
      </c>
      <c r="C6" s="361">
        <v>5323.2</v>
      </c>
      <c r="D6" s="361">
        <v>526.96</v>
      </c>
      <c r="E6" s="361">
        <v>2012.17</v>
      </c>
      <c r="F6" s="1604">
        <f t="shared" ref="F6:F11" si="0">E6/C6*10</f>
        <v>3.7800007514277127</v>
      </c>
      <c r="G6" s="361">
        <f t="shared" ref="G6:G11" si="1">E6+D6</f>
        <v>2539.13</v>
      </c>
      <c r="H6" s="1604">
        <f>G6/C6*10</f>
        <v>4.7699316200781485</v>
      </c>
      <c r="I6" s="1604">
        <v>766.28839355512741</v>
      </c>
      <c r="J6" s="1604">
        <v>209.98917180855602</v>
      </c>
      <c r="K6" s="1604">
        <f>'[33]Actuals apprd'!H26</f>
        <v>252.67029452434002</v>
      </c>
      <c r="L6" s="1604">
        <f t="shared" ref="L6:L12" si="2">K6/I6*10</f>
        <v>3.2973263936844779</v>
      </c>
      <c r="M6" s="1604">
        <f t="shared" ref="M6:M11" si="3">K6+J6</f>
        <v>462.65946633289605</v>
      </c>
      <c r="N6" s="1605">
        <f t="shared" ref="N6:N12" si="4">M6/I6*10</f>
        <v>6.0376676747827052</v>
      </c>
      <c r="O6" s="1604">
        <f>[34]Sheet3!U26</f>
        <v>791.28839355512696</v>
      </c>
      <c r="P6" s="1604">
        <f>[34]Sheet3!V26</f>
        <v>467.4273875587287</v>
      </c>
      <c r="Q6" s="1604">
        <f t="shared" ref="Q6:Q11" si="5">I6+O6</f>
        <v>1557.5767871102544</v>
      </c>
      <c r="R6" s="1604">
        <f t="shared" ref="R6:R11" si="6">M6+P6</f>
        <v>930.08685389162474</v>
      </c>
      <c r="S6" s="1604">
        <f>R6/Q6*10</f>
        <v>5.9713707958963544</v>
      </c>
    </row>
    <row r="7" spans="1:19" ht="47.25" x14ac:dyDescent="0.25">
      <c r="A7" s="1603" t="s">
        <v>974</v>
      </c>
      <c r="B7" s="361">
        <v>66</v>
      </c>
      <c r="C7" s="361">
        <v>941.79</v>
      </c>
      <c r="D7" s="361">
        <v>149.9</v>
      </c>
      <c r="E7" s="361">
        <v>337.16</v>
      </c>
      <c r="F7" s="1604">
        <f t="shared" si="0"/>
        <v>3.5799912931757616</v>
      </c>
      <c r="G7" s="361">
        <f t="shared" si="1"/>
        <v>487.06000000000006</v>
      </c>
      <c r="H7" s="1604">
        <f t="shared" ref="H7:H12" si="7">G7/C7*10</f>
        <v>5.1716412363690427</v>
      </c>
      <c r="I7" s="1604">
        <v>68.626187400000006</v>
      </c>
      <c r="J7" s="1604">
        <v>40.716013634117651</v>
      </c>
      <c r="K7" s="1604">
        <f>'[33]Actuals apprd'!H27</f>
        <v>23.1750635</v>
      </c>
      <c r="L7" s="1604">
        <f t="shared" si="2"/>
        <v>3.3770000021886686</v>
      </c>
      <c r="M7" s="1604">
        <f t="shared" si="3"/>
        <v>63.891077134117651</v>
      </c>
      <c r="N7" s="1605">
        <f t="shared" si="4"/>
        <v>9.3100140856896338</v>
      </c>
      <c r="O7" s="1604">
        <f>[34]Sheet3!U27</f>
        <v>43.626187400000006</v>
      </c>
      <c r="P7" s="1604">
        <f>[34]Sheet3!V27</f>
        <v>40.616041920846364</v>
      </c>
      <c r="Q7" s="1604">
        <f t="shared" si="5"/>
        <v>112.25237480000001</v>
      </c>
      <c r="R7" s="1604">
        <f t="shared" si="6"/>
        <v>104.50711905496402</v>
      </c>
      <c r="S7" s="1604">
        <f t="shared" ref="S7:S70" si="8">R7/Q7*10</f>
        <v>9.3100140857745135</v>
      </c>
    </row>
    <row r="8" spans="1:19" ht="47.25" x14ac:dyDescent="0.25">
      <c r="A8" s="1603" t="s">
        <v>975</v>
      </c>
      <c r="B8" s="361">
        <v>66</v>
      </c>
      <c r="C8" s="361">
        <v>943.8</v>
      </c>
      <c r="D8" s="361">
        <v>191.52</v>
      </c>
      <c r="E8" s="361">
        <v>363.36</v>
      </c>
      <c r="F8" s="1604">
        <f t="shared" si="0"/>
        <v>3.8499682136045776</v>
      </c>
      <c r="G8" s="361">
        <f t="shared" si="1"/>
        <v>554.88</v>
      </c>
      <c r="H8" s="1604">
        <f t="shared" si="7"/>
        <v>5.879211697393516</v>
      </c>
      <c r="I8" s="1604">
        <v>59.808414999999997</v>
      </c>
      <c r="J8" s="1604">
        <v>92.031425470613286</v>
      </c>
      <c r="K8" s="1604">
        <f>'[33]Actuals apprd'!H28</f>
        <v>19.493974316838433</v>
      </c>
      <c r="L8" s="1604">
        <f t="shared" si="2"/>
        <v>3.259403265717447</v>
      </c>
      <c r="M8" s="1604">
        <f t="shared" si="3"/>
        <v>111.52539978745172</v>
      </c>
      <c r="N8" s="1605">
        <f t="shared" si="4"/>
        <v>18.647108402296187</v>
      </c>
      <c r="O8" s="1604">
        <f>[34]Sheet3!U28</f>
        <v>119.808415</v>
      </c>
      <c r="P8" s="1604">
        <f>[34]Sheet3!V28</f>
        <v>139.75</v>
      </c>
      <c r="Q8" s="1604">
        <f t="shared" si="5"/>
        <v>179.61682999999999</v>
      </c>
      <c r="R8" s="1604">
        <f t="shared" si="6"/>
        <v>251.2753997874517</v>
      </c>
      <c r="S8" s="1604">
        <f t="shared" si="8"/>
        <v>13.989524243772241</v>
      </c>
    </row>
    <row r="9" spans="1:19" ht="47.25" x14ac:dyDescent="0.25">
      <c r="A9" s="1603" t="s">
        <v>976</v>
      </c>
      <c r="B9" s="361">
        <v>66</v>
      </c>
      <c r="C9" s="361">
        <v>858</v>
      </c>
      <c r="D9" s="361">
        <v>303</v>
      </c>
      <c r="E9" s="361">
        <v>320.89</v>
      </c>
      <c r="F9" s="1604">
        <f t="shared" si="0"/>
        <v>3.73997668997669</v>
      </c>
      <c r="G9" s="361">
        <f t="shared" si="1"/>
        <v>623.89</v>
      </c>
      <c r="H9" s="1604">
        <f t="shared" si="7"/>
        <v>7.2714452214452212</v>
      </c>
      <c r="I9" s="1604">
        <v>106.281265</v>
      </c>
      <c r="J9" s="1604">
        <v>145.71829445709997</v>
      </c>
      <c r="K9" s="1604">
        <f>'[33]Actuals apprd'!H29</f>
        <v>34.549247117539998</v>
      </c>
      <c r="L9" s="1604">
        <f t="shared" si="2"/>
        <v>3.2507372882266687</v>
      </c>
      <c r="M9" s="1604">
        <f t="shared" si="3"/>
        <v>180.26754157463998</v>
      </c>
      <c r="N9" s="1605">
        <f t="shared" si="4"/>
        <v>16.96136582253137</v>
      </c>
      <c r="O9" s="1604">
        <f>[34]Sheet3!U29</f>
        <v>136.28126500000002</v>
      </c>
      <c r="P9" s="1604">
        <f>[34]Sheet3!V29</f>
        <v>231.15163905818559</v>
      </c>
      <c r="Q9" s="1604">
        <f t="shared" si="5"/>
        <v>242.56253000000004</v>
      </c>
      <c r="R9" s="1604">
        <f t="shared" si="6"/>
        <v>411.4191806328256</v>
      </c>
      <c r="S9" s="1604">
        <f t="shared" si="8"/>
        <v>16.961365823188995</v>
      </c>
    </row>
    <row r="10" spans="1:19" ht="47.25" x14ac:dyDescent="0.25">
      <c r="A10" s="1603" t="s">
        <v>977</v>
      </c>
      <c r="B10" s="361">
        <v>66</v>
      </c>
      <c r="C10" s="361">
        <v>924</v>
      </c>
      <c r="D10" s="361">
        <v>404.73</v>
      </c>
      <c r="E10" s="361">
        <v>317.86</v>
      </c>
      <c r="F10" s="1604">
        <f t="shared" si="0"/>
        <v>3.4400432900432905</v>
      </c>
      <c r="G10" s="361">
        <f t="shared" si="1"/>
        <v>722.59</v>
      </c>
      <c r="H10" s="1604">
        <f t="shared" si="7"/>
        <v>7.8202380952380954</v>
      </c>
      <c r="I10" s="1604">
        <v>1.4246129999999999</v>
      </c>
      <c r="J10" s="1604">
        <v>293.99206406166667</v>
      </c>
      <c r="K10" s="1604">
        <f>'[33]Actuals apprd'!H30</f>
        <v>0.54220770780000005</v>
      </c>
      <c r="L10" s="1604">
        <f t="shared" si="2"/>
        <v>3.8060000000000005</v>
      </c>
      <c r="M10" s="1604">
        <f t="shared" si="3"/>
        <v>294.53427176946667</v>
      </c>
      <c r="N10" s="1605">
        <f t="shared" si="4"/>
        <v>2067.4686512720764</v>
      </c>
      <c r="O10" s="1604">
        <f>[34]Sheet3!U30</f>
        <v>40.42</v>
      </c>
      <c r="P10" s="1604">
        <f>[34]Sheet3!V30</f>
        <v>285.13650000000001</v>
      </c>
      <c r="Q10" s="1604">
        <f t="shared" si="5"/>
        <v>41.844613000000003</v>
      </c>
      <c r="R10" s="1604">
        <f t="shared" si="6"/>
        <v>579.67077176946668</v>
      </c>
      <c r="S10" s="1604"/>
    </row>
    <row r="11" spans="1:19" ht="15.75" x14ac:dyDescent="0.25">
      <c r="A11" s="1603" t="s">
        <v>978</v>
      </c>
      <c r="B11" s="361">
        <v>66</v>
      </c>
      <c r="C11" s="361">
        <v>1037.28</v>
      </c>
      <c r="D11" s="361">
        <v>486</v>
      </c>
      <c r="E11" s="361">
        <v>322.58999999999997</v>
      </c>
      <c r="F11" s="1604">
        <f t="shared" si="0"/>
        <v>3.1099606663581674</v>
      </c>
      <c r="G11" s="361">
        <f t="shared" si="1"/>
        <v>808.58999999999992</v>
      </c>
      <c r="H11" s="1604">
        <f t="shared" si="7"/>
        <v>7.7952915316982878</v>
      </c>
      <c r="I11" s="1604">
        <v>661.04524300000014</v>
      </c>
      <c r="J11" s="1604">
        <v>458.18</v>
      </c>
      <c r="K11" s="1604">
        <f>'[33]Actuals apprd'!H32</f>
        <v>191.7</v>
      </c>
      <c r="L11" s="1604">
        <f t="shared" si="2"/>
        <v>2.8999527949102868</v>
      </c>
      <c r="M11" s="1604">
        <f t="shared" si="3"/>
        <v>649.88</v>
      </c>
      <c r="N11" s="1605"/>
      <c r="O11" s="1604">
        <f>[34]Sheet3!U31</f>
        <v>411.04524300000003</v>
      </c>
      <c r="P11" s="1604">
        <f>[34]Sheet3!V31</f>
        <v>404.10537489208616</v>
      </c>
      <c r="Q11" s="1604">
        <f t="shared" si="5"/>
        <v>1072.0904860000001</v>
      </c>
      <c r="R11" s="1604">
        <f t="shared" si="6"/>
        <v>1053.9853748920862</v>
      </c>
      <c r="S11" s="1604">
        <f t="shared" si="8"/>
        <v>9.8311232928158461</v>
      </c>
    </row>
    <row r="12" spans="1:19" ht="31.5" x14ac:dyDescent="0.25">
      <c r="A12" s="1606" t="s">
        <v>979</v>
      </c>
      <c r="B12" s="361"/>
      <c r="C12" s="1607">
        <f>SUM(C6:C11)</f>
        <v>10028.070000000002</v>
      </c>
      <c r="D12" s="1607">
        <f t="shared" ref="D12:M12" si="9">SUM(D6:D11)</f>
        <v>2062.11</v>
      </c>
      <c r="E12" s="1607">
        <f t="shared" si="9"/>
        <v>3674.03</v>
      </c>
      <c r="F12" s="1608"/>
      <c r="G12" s="1607">
        <f t="shared" si="9"/>
        <v>5736.14</v>
      </c>
      <c r="H12" s="1608">
        <f t="shared" si="7"/>
        <v>5.7200837249839696</v>
      </c>
      <c r="I12" s="1607">
        <f t="shared" si="9"/>
        <v>1663.4741169551276</v>
      </c>
      <c r="J12" s="1607">
        <f t="shared" si="9"/>
        <v>1240.6269694320536</v>
      </c>
      <c r="K12" s="1607">
        <f t="shared" si="9"/>
        <v>522.13078716651853</v>
      </c>
      <c r="L12" s="1608">
        <f t="shared" si="2"/>
        <v>3.1387971826230894</v>
      </c>
      <c r="M12" s="1607">
        <f t="shared" si="9"/>
        <v>1762.7577565985721</v>
      </c>
      <c r="N12" s="1609">
        <f t="shared" si="4"/>
        <v>10.596845112475668</v>
      </c>
      <c r="O12" s="1608">
        <f>SUM(O6:O11)</f>
        <v>1542.469503955127</v>
      </c>
      <c r="P12" s="1608">
        <f>SUM(P6:P11)</f>
        <v>1568.1869434298469</v>
      </c>
      <c r="Q12" s="1608">
        <f>SUM(Q6:Q11)</f>
        <v>3205.9436209102546</v>
      </c>
      <c r="R12" s="1608">
        <f>SUM(R6:R11)</f>
        <v>3330.944700028419</v>
      </c>
      <c r="S12" s="1604">
        <f t="shared" si="8"/>
        <v>10.389904171436031</v>
      </c>
    </row>
    <row r="13" spans="1:19" ht="15.75" x14ac:dyDescent="0.25">
      <c r="A13" s="1603" t="s">
        <v>980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</row>
    <row r="14" spans="1:19" ht="31.5" x14ac:dyDescent="0.25">
      <c r="A14" s="1603" t="s">
        <v>981</v>
      </c>
      <c r="B14" s="361">
        <v>53.674100000000003</v>
      </c>
      <c r="C14" s="361">
        <v>1395.53</v>
      </c>
      <c r="D14" s="361">
        <v>99.45</v>
      </c>
      <c r="E14" s="361">
        <v>344.7</v>
      </c>
      <c r="F14" s="1604">
        <f>E14/C14*10</f>
        <v>2.4700293078615294</v>
      </c>
      <c r="G14" s="361">
        <f>E14+D14</f>
        <v>444.15</v>
      </c>
      <c r="H14" s="1604">
        <f>G14/C14*10</f>
        <v>3.1826617844116574</v>
      </c>
      <c r="I14" s="1604">
        <v>616.05122694000011</v>
      </c>
      <c r="J14" s="1604">
        <v>64.610483299999999</v>
      </c>
      <c r="K14" s="1604">
        <f>'[33]Actuals apprd'!H40</f>
        <v>136.7654733</v>
      </c>
      <c r="L14" s="1604">
        <f t="shared" ref="L14:L35" si="10">K14/I14*10</f>
        <v>2.22003410299709</v>
      </c>
      <c r="M14" s="1604">
        <f>K14+J14</f>
        <v>201.37595659999999</v>
      </c>
      <c r="N14" s="1605">
        <f>M14/I14*10</f>
        <v>3.2688183675935263</v>
      </c>
      <c r="O14" s="1604">
        <f>[34]Sheet3!U39</f>
        <v>616.05122694000011</v>
      </c>
      <c r="P14" s="1604">
        <f>[34]Sheet3!V39</f>
        <v>201.37595659999999</v>
      </c>
      <c r="Q14" s="1604">
        <f t="shared" ref="Q14:Q32" si="11">I14+O14</f>
        <v>1232.1024538800002</v>
      </c>
      <c r="R14" s="1604">
        <f t="shared" ref="R14:R32" si="12">M14+P14</f>
        <v>402.75191319999999</v>
      </c>
      <c r="S14" s="1604">
        <f t="shared" si="8"/>
        <v>3.2688183675935263</v>
      </c>
    </row>
    <row r="15" spans="1:19" ht="31.5" x14ac:dyDescent="0.25">
      <c r="A15" s="1603" t="s">
        <v>982</v>
      </c>
      <c r="B15" s="361">
        <v>53.674100000000003</v>
      </c>
      <c r="C15" s="361">
        <v>418.12</v>
      </c>
      <c r="D15" s="361">
        <v>26.25</v>
      </c>
      <c r="E15" s="361">
        <v>101.27</v>
      </c>
      <c r="F15" s="1604">
        <f t="shared" ref="F15:F33" si="13">E15/C15*10</f>
        <v>2.4220319525495073</v>
      </c>
      <c r="G15" s="361">
        <f t="shared" ref="G15:G31" si="14">E15+D15</f>
        <v>127.52</v>
      </c>
      <c r="H15" s="1604">
        <f t="shared" ref="H15:H33" si="15">G15/C15*10</f>
        <v>3.0498421505787809</v>
      </c>
      <c r="I15" s="1604">
        <v>107.93875222</v>
      </c>
      <c r="J15" s="1604">
        <v>10.6346574</v>
      </c>
      <c r="K15" s="1604">
        <f>'[33]Actuals apprd'!H41</f>
        <v>26.285378699999999</v>
      </c>
      <c r="L15" s="1604">
        <f t="shared" si="10"/>
        <v>2.4352123921560005</v>
      </c>
      <c r="M15" s="1604">
        <f>K15+J15</f>
        <v>36.920036099999997</v>
      </c>
      <c r="N15" s="1605">
        <f>M15/I15*10</f>
        <v>3.4204616359423761</v>
      </c>
      <c r="O15" s="1604">
        <f>[34]Sheet3!U40</f>
        <v>107.93875222</v>
      </c>
      <c r="P15" s="1604">
        <f>[34]Sheet3!V40</f>
        <v>36.920036099999997</v>
      </c>
      <c r="Q15" s="1604">
        <f t="shared" si="11"/>
        <v>215.87750444</v>
      </c>
      <c r="R15" s="1604">
        <f t="shared" si="12"/>
        <v>73.840072199999994</v>
      </c>
      <c r="S15" s="1604">
        <f t="shared" si="8"/>
        <v>3.4204616359423761</v>
      </c>
    </row>
    <row r="16" spans="1:19" ht="15.75" x14ac:dyDescent="0.25">
      <c r="A16" s="1610" t="s">
        <v>983</v>
      </c>
      <c r="B16" s="361">
        <v>53.674100000000003</v>
      </c>
      <c r="C16" s="361">
        <v>1251.1400000000001</v>
      </c>
      <c r="D16" s="361">
        <v>91.31</v>
      </c>
      <c r="E16" s="361">
        <v>207.94</v>
      </c>
      <c r="F16" s="1604">
        <f t="shared" si="13"/>
        <v>1.6620042521220646</v>
      </c>
      <c r="G16" s="361">
        <f t="shared" si="14"/>
        <v>299.25</v>
      </c>
      <c r="H16" s="1604">
        <f t="shared" si="15"/>
        <v>2.3918186613808206</v>
      </c>
      <c r="I16" s="1604">
        <v>665.32667482999989</v>
      </c>
      <c r="J16" s="1604">
        <v>49.658019799999998</v>
      </c>
      <c r="K16" s="1604">
        <f>[34]Sheet3!H41</f>
        <v>166.15551580000002</v>
      </c>
      <c r="L16" s="1604">
        <f t="shared" si="10"/>
        <v>2.4973523847131944</v>
      </c>
      <c r="M16" s="1604">
        <f>K16+J16</f>
        <v>215.81353560000002</v>
      </c>
      <c r="N16" s="1605">
        <f>M16/I16*10</f>
        <v>3.2437228772639148</v>
      </c>
      <c r="O16" s="1604">
        <f>[34]Sheet3!U41</f>
        <v>665.32667482999989</v>
      </c>
      <c r="P16" s="1604">
        <f>[34]Sheet3!V41</f>
        <v>178.57</v>
      </c>
      <c r="Q16" s="1604">
        <f t="shared" si="11"/>
        <v>1330.6533496599998</v>
      </c>
      <c r="R16" s="1604">
        <f t="shared" si="12"/>
        <v>394.38353560000002</v>
      </c>
      <c r="S16" s="1604">
        <f t="shared" si="8"/>
        <v>2.9638337866189604</v>
      </c>
    </row>
    <row r="17" spans="1:19" ht="31.5" x14ac:dyDescent="0.25">
      <c r="A17" s="1603" t="s">
        <v>984</v>
      </c>
      <c r="B17" s="361">
        <v>53.674100000000003</v>
      </c>
      <c r="C17" s="361">
        <v>542.65</v>
      </c>
      <c r="D17" s="361">
        <v>85.26</v>
      </c>
      <c r="E17" s="361">
        <v>154.22</v>
      </c>
      <c r="F17" s="1604">
        <f t="shared" si="13"/>
        <v>2.8419791762646271</v>
      </c>
      <c r="G17" s="361">
        <f t="shared" si="14"/>
        <v>239.48000000000002</v>
      </c>
      <c r="H17" s="1604">
        <f t="shared" si="15"/>
        <v>4.4131576522620479</v>
      </c>
      <c r="I17" s="1604">
        <v>253.56287361000003</v>
      </c>
      <c r="J17" s="1604">
        <v>53.828203299999998</v>
      </c>
      <c r="K17" s="1604">
        <f>'[33]Actuals apprd'!H43</f>
        <v>84.642960000000002</v>
      </c>
      <c r="L17" s="1604">
        <f t="shared" si="10"/>
        <v>3.3381448472692279</v>
      </c>
      <c r="M17" s="1604">
        <f>K17+J17</f>
        <v>138.4711633</v>
      </c>
      <c r="N17" s="1605">
        <f>M17/I17*10</f>
        <v>5.4610188521912608</v>
      </c>
      <c r="O17" s="1604">
        <f>[34]Sheet3!U42</f>
        <v>197.56287361</v>
      </c>
      <c r="P17" s="1604">
        <f>[34]Sheet3!V42</f>
        <v>107.88945772772894</v>
      </c>
      <c r="Q17" s="1604">
        <f t="shared" si="11"/>
        <v>451.12574721999999</v>
      </c>
      <c r="R17" s="1604">
        <f t="shared" si="12"/>
        <v>246.36062102772894</v>
      </c>
      <c r="S17" s="1604">
        <f t="shared" si="8"/>
        <v>5.4610188521912617</v>
      </c>
    </row>
    <row r="18" spans="1:19" ht="63" x14ac:dyDescent="0.25">
      <c r="A18" s="1603" t="s">
        <v>985</v>
      </c>
      <c r="B18" s="361">
        <v>53.674100000000003</v>
      </c>
      <c r="C18" s="361">
        <v>396.11</v>
      </c>
      <c r="D18" s="361">
        <v>86.34</v>
      </c>
      <c r="E18" s="361">
        <v>123.11</v>
      </c>
      <c r="F18" s="1604">
        <f t="shared" si="13"/>
        <v>3.1079750574335412</v>
      </c>
      <c r="G18" s="361">
        <f t="shared" si="14"/>
        <v>209.45</v>
      </c>
      <c r="H18" s="1604">
        <f t="shared" si="15"/>
        <v>5.2876726161924719</v>
      </c>
      <c r="I18" s="1604">
        <v>34.225472840000002</v>
      </c>
      <c r="J18" s="1604">
        <v>52.230856799999998</v>
      </c>
      <c r="K18" s="1604">
        <f>[34]Sheet3!H53</f>
        <v>16.940616599999998</v>
      </c>
      <c r="L18" s="1604">
        <f t="shared" si="10"/>
        <v>4.949710024225336</v>
      </c>
      <c r="M18" s="1604">
        <f>K18+J18</f>
        <v>69.171473399999996</v>
      </c>
      <c r="N18" s="1605">
        <f>M18/I18*10</f>
        <v>20.210523817557867</v>
      </c>
      <c r="O18" s="1604">
        <f>[34]Sheet3!U53</f>
        <v>34.225472840000002</v>
      </c>
      <c r="P18" s="1604">
        <f>[34]Sheet3!V53</f>
        <v>68.790000000000006</v>
      </c>
      <c r="Q18" s="1604">
        <f t="shared" si="11"/>
        <v>68.450945680000004</v>
      </c>
      <c r="R18" s="1604">
        <f t="shared" si="12"/>
        <v>137.96147339999999</v>
      </c>
      <c r="S18" s="1604">
        <f t="shared" si="8"/>
        <v>20.154794361052861</v>
      </c>
    </row>
    <row r="19" spans="1:19" ht="47.25" x14ac:dyDescent="0.25">
      <c r="A19" s="1611" t="s">
        <v>986</v>
      </c>
      <c r="B19" s="361">
        <v>53.674100000000003</v>
      </c>
      <c r="C19" s="361">
        <v>439.72</v>
      </c>
      <c r="D19" s="361">
        <v>32.39</v>
      </c>
      <c r="E19" s="361">
        <v>113.54</v>
      </c>
      <c r="F19" s="1604">
        <f t="shared" si="13"/>
        <v>2.5820976985354314</v>
      </c>
      <c r="G19" s="361">
        <f t="shared" si="14"/>
        <v>145.93</v>
      </c>
      <c r="H19" s="1604">
        <f t="shared" si="15"/>
        <v>3.3187028108796506</v>
      </c>
      <c r="I19" s="1604">
        <v>183.70052352000002</v>
      </c>
      <c r="J19" s="1604">
        <v>15.8010272</v>
      </c>
      <c r="K19" s="1604">
        <f>[34]Sheet3!H43</f>
        <v>71.786938800000001</v>
      </c>
      <c r="L19" s="1604">
        <f t="shared" si="10"/>
        <v>3.9078243994326094</v>
      </c>
      <c r="M19" s="1604">
        <f t="shared" ref="M19:M31" si="16">K19+J19</f>
        <v>87.587965999999994</v>
      </c>
      <c r="N19" s="1605">
        <f t="shared" ref="N19:N50" si="17">M19/I19*10</f>
        <v>4.7679758512209158</v>
      </c>
      <c r="O19" s="1604">
        <f>[34]Sheet3!U43</f>
        <v>183.70052352000002</v>
      </c>
      <c r="P19" s="1604">
        <f>[34]Sheet3!V43</f>
        <v>81.05</v>
      </c>
      <c r="Q19" s="1604">
        <f t="shared" si="11"/>
        <v>367.40104704000004</v>
      </c>
      <c r="R19" s="1604">
        <f t="shared" si="12"/>
        <v>168.63796600000001</v>
      </c>
      <c r="S19" s="1604">
        <f t="shared" si="8"/>
        <v>4.5900240992410639</v>
      </c>
    </row>
    <row r="20" spans="1:19" ht="47.25" x14ac:dyDescent="0.25">
      <c r="A20" s="1603" t="s">
        <v>987</v>
      </c>
      <c r="B20" s="361">
        <v>53.674100000000003</v>
      </c>
      <c r="C20" s="361">
        <v>576.04999999999995</v>
      </c>
      <c r="D20" s="361">
        <v>43.84</v>
      </c>
      <c r="E20" s="361">
        <v>148.74</v>
      </c>
      <c r="F20" s="1604">
        <f t="shared" si="13"/>
        <v>2.5820675288603425</v>
      </c>
      <c r="G20" s="361">
        <f t="shared" si="14"/>
        <v>192.58</v>
      </c>
      <c r="H20" s="1604">
        <f t="shared" si="15"/>
        <v>3.3431125770332444</v>
      </c>
      <c r="I20" s="1604">
        <v>127.56922239000001</v>
      </c>
      <c r="J20" s="1604">
        <v>8.8464237000000008</v>
      </c>
      <c r="K20" s="1604">
        <f>[34]Sheet3!H44</f>
        <v>34.377206399999999</v>
      </c>
      <c r="L20" s="1604">
        <f t="shared" si="10"/>
        <v>2.6947884259185377</v>
      </c>
      <c r="M20" s="1604">
        <f t="shared" si="16"/>
        <v>43.223630100000001</v>
      </c>
      <c r="N20" s="1605">
        <f t="shared" si="17"/>
        <v>3.3882490847093423</v>
      </c>
      <c r="O20" s="1604">
        <f>[34]Sheet3!U44</f>
        <v>127.56922239000001</v>
      </c>
      <c r="P20" s="1604">
        <f>[34]Sheet3!V44</f>
        <v>36.69</v>
      </c>
      <c r="Q20" s="1604">
        <f t="shared" si="11"/>
        <v>255.13844478000001</v>
      </c>
      <c r="R20" s="1604">
        <f t="shared" si="12"/>
        <v>79.913630100000006</v>
      </c>
      <c r="S20" s="1604">
        <f t="shared" si="8"/>
        <v>3.132167328561859</v>
      </c>
    </row>
    <row r="21" spans="1:19" ht="47.25" x14ac:dyDescent="0.25">
      <c r="A21" s="1611" t="s">
        <v>988</v>
      </c>
      <c r="B21" s="361">
        <v>53.674100000000003</v>
      </c>
      <c r="C21" s="361">
        <v>373.57</v>
      </c>
      <c r="D21" s="361">
        <v>39.53</v>
      </c>
      <c r="E21" s="361">
        <v>90.4</v>
      </c>
      <c r="F21" s="1604">
        <f t="shared" si="13"/>
        <v>2.419894531145435</v>
      </c>
      <c r="G21" s="361">
        <f t="shared" si="14"/>
        <v>129.93</v>
      </c>
      <c r="H21" s="1604">
        <f t="shared" si="15"/>
        <v>3.4780630136252917</v>
      </c>
      <c r="I21" s="1604">
        <v>175.87127147000001</v>
      </c>
      <c r="J21" s="1604">
        <v>19.283128399999999</v>
      </c>
      <c r="K21" s="1604">
        <f>'[33]Actuals apprd'!H46</f>
        <v>66.019287500000004</v>
      </c>
      <c r="L21" s="1604">
        <f t="shared" si="10"/>
        <v>3.7538414857745273</v>
      </c>
      <c r="M21" s="1604">
        <f t="shared" si="16"/>
        <v>85.3024159</v>
      </c>
      <c r="N21" s="1605">
        <f t="shared" si="17"/>
        <v>4.8502757265020868</v>
      </c>
      <c r="O21" s="1604">
        <f>[34]Sheet3!U45</f>
        <v>175.87127147000001</v>
      </c>
      <c r="P21" s="1604">
        <f>[34]Sheet3!V45</f>
        <v>85.302415900000014</v>
      </c>
      <c r="Q21" s="1604">
        <f t="shared" si="11"/>
        <v>351.74254294000002</v>
      </c>
      <c r="R21" s="1604">
        <f t="shared" si="12"/>
        <v>170.6048318</v>
      </c>
      <c r="S21" s="1604">
        <f t="shared" si="8"/>
        <v>4.8502757265020868</v>
      </c>
    </row>
    <row r="22" spans="1:19" ht="47.25" x14ac:dyDescent="0.25">
      <c r="A22" s="1603" t="s">
        <v>989</v>
      </c>
      <c r="B22" s="361">
        <v>53.674100000000003</v>
      </c>
      <c r="C22" s="361">
        <v>312.38</v>
      </c>
      <c r="D22" s="361">
        <v>75.569999999999993</v>
      </c>
      <c r="E22" s="361">
        <v>75.599999999999994</v>
      </c>
      <c r="F22" s="1604">
        <f t="shared" si="13"/>
        <v>2.4201293296625903</v>
      </c>
      <c r="G22" s="361">
        <f t="shared" si="14"/>
        <v>151.16999999999999</v>
      </c>
      <c r="H22" s="1604">
        <f t="shared" si="15"/>
        <v>4.8392982905435682</v>
      </c>
      <c r="I22" s="1604">
        <v>105.42093303</v>
      </c>
      <c r="J22" s="1604">
        <v>26.2991411</v>
      </c>
      <c r="K22" s="1604">
        <f>'[33]Actuals apprd'!H47</f>
        <v>26.784376900000002</v>
      </c>
      <c r="L22" s="1604">
        <f t="shared" si="10"/>
        <v>2.5407076308438552</v>
      </c>
      <c r="M22" s="1604">
        <f t="shared" si="16"/>
        <v>53.083517999999998</v>
      </c>
      <c r="N22" s="1605">
        <f t="shared" si="17"/>
        <v>5.0353868510055619</v>
      </c>
      <c r="O22" s="1604">
        <f>[34]Sheet3!U46</f>
        <v>105.42093303</v>
      </c>
      <c r="P22" s="1604">
        <f>[34]Sheet3!V46</f>
        <v>53.083517999999998</v>
      </c>
      <c r="Q22" s="1604">
        <f t="shared" si="11"/>
        <v>210.84186606</v>
      </c>
      <c r="R22" s="1604">
        <f t="shared" si="12"/>
        <v>106.167036</v>
      </c>
      <c r="S22" s="1604">
        <f t="shared" si="8"/>
        <v>5.0353868510055619</v>
      </c>
    </row>
    <row r="23" spans="1:19" ht="47.25" x14ac:dyDescent="0.25">
      <c r="A23" s="1611" t="s">
        <v>990</v>
      </c>
      <c r="B23" s="361">
        <v>53.674100000000003</v>
      </c>
      <c r="C23" s="361">
        <v>608.27</v>
      </c>
      <c r="D23" s="361">
        <v>100.8</v>
      </c>
      <c r="E23" s="361">
        <v>145.56</v>
      </c>
      <c r="F23" s="1604">
        <f t="shared" si="13"/>
        <v>2.3930162592269881</v>
      </c>
      <c r="G23" s="361">
        <f t="shared" si="14"/>
        <v>246.36</v>
      </c>
      <c r="H23" s="1604">
        <f t="shared" si="15"/>
        <v>4.0501750867213575</v>
      </c>
      <c r="I23" s="1604">
        <v>256.96098420000004</v>
      </c>
      <c r="J23" s="1604">
        <v>61.000960800000001</v>
      </c>
      <c r="K23" s="1604">
        <f>[34]Sheet3!H51</f>
        <v>92.796020100000007</v>
      </c>
      <c r="L23" s="1604">
        <f t="shared" si="10"/>
        <v>3.6112883202445327</v>
      </c>
      <c r="M23" s="1604">
        <f t="shared" si="16"/>
        <v>153.79698089999999</v>
      </c>
      <c r="N23" s="1605">
        <f t="shared" si="17"/>
        <v>5.9852269549331822</v>
      </c>
      <c r="O23" s="1604">
        <f>[34]Sheet3!U51</f>
        <v>256.96098420000004</v>
      </c>
      <c r="P23" s="1604">
        <f>[34]Sheet3!V51</f>
        <v>151.27000000000001</v>
      </c>
      <c r="Q23" s="1604">
        <f t="shared" si="11"/>
        <v>513.92196840000008</v>
      </c>
      <c r="R23" s="1604">
        <f t="shared" si="12"/>
        <v>305.06698089999998</v>
      </c>
      <c r="S23" s="1604">
        <f t="shared" si="8"/>
        <v>5.9360564377072444</v>
      </c>
    </row>
    <row r="24" spans="1:19" ht="15.75" x14ac:dyDescent="0.25">
      <c r="A24" s="1603" t="s">
        <v>991</v>
      </c>
      <c r="B24" s="361">
        <v>53.674100000000003</v>
      </c>
      <c r="C24" s="361">
        <v>108.24</v>
      </c>
      <c r="D24" s="361"/>
      <c r="E24" s="361">
        <v>24.35</v>
      </c>
      <c r="F24" s="1604">
        <f t="shared" si="13"/>
        <v>2.2496304508499634</v>
      </c>
      <c r="G24" s="361">
        <f t="shared" si="14"/>
        <v>24.35</v>
      </c>
      <c r="H24" s="1604">
        <f t="shared" si="15"/>
        <v>2.2496304508499634</v>
      </c>
      <c r="I24" s="1604">
        <v>33.310871290000001</v>
      </c>
      <c r="J24" s="1604"/>
      <c r="K24" s="1604">
        <f>'[33]Actuals apprd'!K49</f>
        <v>8.4696677000000005</v>
      </c>
      <c r="L24" s="1604">
        <f t="shared" si="10"/>
        <v>2.5426136789591016</v>
      </c>
      <c r="M24" s="1604">
        <f t="shared" si="16"/>
        <v>8.4696677000000005</v>
      </c>
      <c r="N24" s="1605">
        <f t="shared" si="17"/>
        <v>2.5426136789591016</v>
      </c>
      <c r="O24" s="1604">
        <f>[34]Sheet3!U48</f>
        <v>33.310871290000001</v>
      </c>
      <c r="P24" s="1604">
        <f>[34]Sheet3!V48</f>
        <v>8.4696677000000005</v>
      </c>
      <c r="Q24" s="1604">
        <f t="shared" si="11"/>
        <v>66.621742580000003</v>
      </c>
      <c r="R24" s="1604">
        <f t="shared" si="12"/>
        <v>16.939335400000001</v>
      </c>
      <c r="S24" s="1604">
        <f t="shared" si="8"/>
        <v>2.5426136789591016</v>
      </c>
    </row>
    <row r="25" spans="1:19" ht="31.5" x14ac:dyDescent="0.25">
      <c r="A25" s="1603" t="s">
        <v>992</v>
      </c>
      <c r="B25" s="361">
        <v>53.674100000000003</v>
      </c>
      <c r="C25" s="361">
        <v>459.99</v>
      </c>
      <c r="D25" s="361"/>
      <c r="E25" s="361">
        <v>172.5</v>
      </c>
      <c r="F25" s="1604">
        <f t="shared" si="13"/>
        <v>3.7500815235113807</v>
      </c>
      <c r="G25" s="361">
        <f t="shared" si="14"/>
        <v>172.5</v>
      </c>
      <c r="H25" s="1604">
        <f t="shared" si="15"/>
        <v>3.7500815235113807</v>
      </c>
      <c r="I25" s="1604">
        <v>536.89768985000001</v>
      </c>
      <c r="J25" s="1604"/>
      <c r="K25" s="1604">
        <f>'[33]Actuals apprd'!H50</f>
        <v>195.64246270000001</v>
      </c>
      <c r="L25" s="1604">
        <f t="shared" si="10"/>
        <v>3.6439430900635679</v>
      </c>
      <c r="M25" s="1604">
        <f t="shared" si="16"/>
        <v>195.64246270000001</v>
      </c>
      <c r="N25" s="1605">
        <f t="shared" si="17"/>
        <v>3.6439430900635679</v>
      </c>
      <c r="O25" s="1604">
        <f>[34]Sheet3!U49</f>
        <v>486.89768985000001</v>
      </c>
      <c r="P25" s="1604">
        <f>[34]Sheet3!V49</f>
        <v>177.42274724968217</v>
      </c>
      <c r="Q25" s="1604">
        <f t="shared" si="11"/>
        <v>1023.7953797</v>
      </c>
      <c r="R25" s="1604">
        <f t="shared" si="12"/>
        <v>373.06520994968218</v>
      </c>
      <c r="S25" s="1604">
        <f t="shared" si="8"/>
        <v>3.6439430900635679</v>
      </c>
    </row>
    <row r="26" spans="1:19" ht="31.5" x14ac:dyDescent="0.25">
      <c r="A26" s="1603" t="s">
        <v>993</v>
      </c>
      <c r="B26" s="361">
        <v>53.674100000000003</v>
      </c>
      <c r="C26" s="361">
        <v>483.07</v>
      </c>
      <c r="D26" s="361"/>
      <c r="E26" s="361">
        <v>181.15</v>
      </c>
      <c r="F26" s="1604">
        <f t="shared" si="13"/>
        <v>3.7499741238329847</v>
      </c>
      <c r="G26" s="361">
        <f t="shared" si="14"/>
        <v>181.15</v>
      </c>
      <c r="H26" s="1604">
        <f t="shared" si="15"/>
        <v>3.7499741238329847</v>
      </c>
      <c r="I26" s="361"/>
      <c r="J26" s="361"/>
      <c r="K26" s="361"/>
      <c r="L26" s="1604"/>
      <c r="M26" s="1604">
        <f t="shared" si="16"/>
        <v>0</v>
      </c>
      <c r="N26" s="1605"/>
      <c r="O26" s="361"/>
      <c r="P26" s="361"/>
      <c r="Q26" s="1604">
        <f t="shared" si="11"/>
        <v>0</v>
      </c>
      <c r="R26" s="1604">
        <f t="shared" si="12"/>
        <v>0</v>
      </c>
      <c r="S26" s="1604"/>
    </row>
    <row r="27" spans="1:19" ht="78.75" x14ac:dyDescent="0.25">
      <c r="A27" s="1603" t="s">
        <v>994</v>
      </c>
      <c r="B27" s="361">
        <v>53.674100000000003</v>
      </c>
      <c r="C27" s="361">
        <v>508.52</v>
      </c>
      <c r="D27" s="361"/>
      <c r="E27" s="361">
        <v>213.58</v>
      </c>
      <c r="F27" s="1604">
        <f t="shared" si="13"/>
        <v>4.200031463855896</v>
      </c>
      <c r="G27" s="361">
        <f t="shared" si="14"/>
        <v>213.58</v>
      </c>
      <c r="H27" s="1604">
        <f t="shared" si="15"/>
        <v>4.200031463855896</v>
      </c>
      <c r="I27" s="1604">
        <v>586.42879891000007</v>
      </c>
      <c r="J27" s="361"/>
      <c r="K27" s="1604">
        <f>[34]Sheet3!H57</f>
        <v>240.26517949999999</v>
      </c>
      <c r="L27" s="1604">
        <f t="shared" si="10"/>
        <v>4.0970903875557072</v>
      </c>
      <c r="M27" s="1604">
        <f t="shared" si="16"/>
        <v>240.26517949999999</v>
      </c>
      <c r="N27" s="1605">
        <f t="shared" si="17"/>
        <v>4.0970903875557072</v>
      </c>
      <c r="O27" s="1604">
        <f>[34]Sheet3!U57</f>
        <v>536.42879890999995</v>
      </c>
      <c r="P27" s="1604">
        <f>[34]Sheet3!V57</f>
        <v>218.68</v>
      </c>
      <c r="Q27" s="1604">
        <f t="shared" si="11"/>
        <v>1122.8575978200001</v>
      </c>
      <c r="R27" s="1604">
        <f t="shared" si="12"/>
        <v>458.94517949999999</v>
      </c>
      <c r="S27" s="1604">
        <f t="shared" si="8"/>
        <v>4.0872963801556903</v>
      </c>
    </row>
    <row r="28" spans="1:19" ht="63" x14ac:dyDescent="0.25">
      <c r="A28" s="1611" t="s">
        <v>995</v>
      </c>
      <c r="B28" s="361">
        <v>53.674100000000003</v>
      </c>
      <c r="C28" s="361">
        <v>671.68</v>
      </c>
      <c r="D28" s="361"/>
      <c r="E28" s="361">
        <v>282.10000000000002</v>
      </c>
      <c r="F28" s="1604">
        <f t="shared" si="13"/>
        <v>4.1999166269652219</v>
      </c>
      <c r="G28" s="361">
        <f t="shared" si="14"/>
        <v>282.10000000000002</v>
      </c>
      <c r="H28" s="1604">
        <f t="shared" si="15"/>
        <v>4.1999166269652219</v>
      </c>
      <c r="I28" s="361"/>
      <c r="J28" s="361"/>
      <c r="K28" s="361"/>
      <c r="L28" s="1604"/>
      <c r="M28" s="1604"/>
      <c r="N28" s="1605"/>
      <c r="O28" s="361"/>
      <c r="P28" s="361"/>
      <c r="Q28" s="1604">
        <f t="shared" si="11"/>
        <v>0</v>
      </c>
      <c r="R28" s="1604">
        <f t="shared" si="12"/>
        <v>0</v>
      </c>
      <c r="S28" s="1604"/>
    </row>
    <row r="29" spans="1:19" ht="31.5" x14ac:dyDescent="0.25">
      <c r="A29" s="1603" t="s">
        <v>1044</v>
      </c>
      <c r="B29" s="361">
        <v>53.674100000000003</v>
      </c>
      <c r="C29" s="361">
        <v>637.15</v>
      </c>
      <c r="D29" s="361">
        <v>115.1</v>
      </c>
      <c r="E29" s="361">
        <v>152.91999999999999</v>
      </c>
      <c r="F29" s="1604">
        <f t="shared" si="13"/>
        <v>2.4000627795652512</v>
      </c>
      <c r="G29" s="361">
        <f t="shared" si="14"/>
        <v>268.02</v>
      </c>
      <c r="H29" s="1604">
        <f t="shared" si="15"/>
        <v>4.2065447696774703</v>
      </c>
      <c r="I29" s="1612">
        <v>736.23918789999993</v>
      </c>
      <c r="J29" s="1612">
        <v>109.3723249</v>
      </c>
      <c r="K29" s="1604">
        <f>'[33]Actuals apprd'!H62</f>
        <v>227.77049479999999</v>
      </c>
      <c r="L29" s="1604">
        <f t="shared" si="10"/>
        <v>3.0937024073613566</v>
      </c>
      <c r="M29" s="1604">
        <f t="shared" si="16"/>
        <v>337.14281970000002</v>
      </c>
      <c r="N29" s="1605">
        <f t="shared" si="17"/>
        <v>4.5792566497532405</v>
      </c>
      <c r="O29" s="1604">
        <f>[34]Sheet3!U61</f>
        <v>706.23918790000005</v>
      </c>
      <c r="P29" s="1604">
        <f>[34]Sheet3!V61</f>
        <v>323.40504975074037</v>
      </c>
      <c r="Q29" s="1604">
        <f t="shared" si="11"/>
        <v>1442.4783757999999</v>
      </c>
      <c r="R29" s="1604">
        <f t="shared" si="12"/>
        <v>660.54786945074034</v>
      </c>
      <c r="S29" s="1604">
        <f t="shared" si="8"/>
        <v>4.5792566497532405</v>
      </c>
    </row>
    <row r="30" spans="1:19" ht="15.75" x14ac:dyDescent="0.25">
      <c r="A30" s="1603" t="s">
        <v>1045</v>
      </c>
      <c r="B30" s="361">
        <v>53.674100000000003</v>
      </c>
      <c r="C30" s="361">
        <v>776.35</v>
      </c>
      <c r="D30" s="361">
        <v>167.41</v>
      </c>
      <c r="E30" s="361">
        <v>151.38999999999999</v>
      </c>
      <c r="F30" s="1604">
        <f t="shared" si="13"/>
        <v>1.9500225413795322</v>
      </c>
      <c r="G30" s="361">
        <f t="shared" si="14"/>
        <v>318.79999999999995</v>
      </c>
      <c r="H30" s="1604">
        <f t="shared" si="15"/>
        <v>4.1063953113930571</v>
      </c>
      <c r="I30" s="973"/>
      <c r="J30" s="973"/>
      <c r="K30" s="361"/>
      <c r="L30" s="1604"/>
      <c r="M30" s="1604"/>
      <c r="N30" s="1605"/>
      <c r="O30" s="361"/>
      <c r="P30" s="361"/>
      <c r="Q30" s="1604">
        <f t="shared" si="11"/>
        <v>0</v>
      </c>
      <c r="R30" s="1604">
        <f t="shared" si="12"/>
        <v>0</v>
      </c>
      <c r="S30" s="1604"/>
    </row>
    <row r="31" spans="1:19" ht="15.75" x14ac:dyDescent="0.25">
      <c r="A31" s="1603" t="s">
        <v>894</v>
      </c>
      <c r="B31" s="361">
        <v>53.674100000000003</v>
      </c>
      <c r="C31" s="361">
        <v>1617.74</v>
      </c>
      <c r="D31" s="361">
        <v>413.83</v>
      </c>
      <c r="E31" s="361">
        <v>488.56</v>
      </c>
      <c r="F31" s="1604">
        <f t="shared" si="13"/>
        <v>3.020015577286832</v>
      </c>
      <c r="G31" s="361">
        <f t="shared" si="14"/>
        <v>902.39</v>
      </c>
      <c r="H31" s="1604">
        <f t="shared" si="15"/>
        <v>5.5780904224411829</v>
      </c>
      <c r="I31" s="1604">
        <v>175.72641378</v>
      </c>
      <c r="J31" s="1604">
        <v>350.00219579999998</v>
      </c>
      <c r="K31" s="1604">
        <f>'[33]Actuals apprd'!H63</f>
        <v>39.783591199999996</v>
      </c>
      <c r="L31" s="1604">
        <f t="shared" si="10"/>
        <v>2.2639505549693233</v>
      </c>
      <c r="M31" s="1604">
        <f t="shared" si="16"/>
        <v>389.78578699999997</v>
      </c>
      <c r="N31" s="1605">
        <f t="shared" si="17"/>
        <v>22.181399973710882</v>
      </c>
      <c r="O31" s="1604">
        <f>[34]Sheet3!U62</f>
        <v>155.72641378</v>
      </c>
      <c r="P31" s="1604">
        <f>[34]Sheet3!V62</f>
        <v>188.42896067379999</v>
      </c>
      <c r="Q31" s="1604">
        <f t="shared" si="11"/>
        <v>331.45282756</v>
      </c>
      <c r="R31" s="1604">
        <f t="shared" si="12"/>
        <v>578.21474767379993</v>
      </c>
      <c r="S31" s="1604">
        <f t="shared" si="8"/>
        <v>17.444857898191582</v>
      </c>
    </row>
    <row r="32" spans="1:19" ht="15.75" x14ac:dyDescent="0.25">
      <c r="A32" s="1603" t="s">
        <v>1170</v>
      </c>
      <c r="B32" s="361"/>
      <c r="C32" s="361"/>
      <c r="D32" s="361"/>
      <c r="E32" s="361"/>
      <c r="F32" s="1604"/>
      <c r="G32" s="361"/>
      <c r="H32" s="1604"/>
      <c r="I32" s="1604">
        <v>53.921471170000004</v>
      </c>
      <c r="J32" s="1604">
        <v>8.3317677999999997</v>
      </c>
      <c r="K32" s="1604">
        <f>'[33]Actuals apprd'!H64</f>
        <v>9.6269034999999992</v>
      </c>
      <c r="L32" s="1604"/>
      <c r="M32" s="1604">
        <f>'[33]Actuals apprd'!N64</f>
        <v>17.958671299999999</v>
      </c>
      <c r="N32" s="1605"/>
      <c r="O32" s="1604">
        <f>[34]Sheet3!U63</f>
        <v>53.921471170000004</v>
      </c>
      <c r="P32" s="1604">
        <f>[34]Sheet3!V63</f>
        <v>17.958671299999999</v>
      </c>
      <c r="Q32" s="1604">
        <f t="shared" si="11"/>
        <v>107.84294234000001</v>
      </c>
      <c r="R32" s="1604">
        <f t="shared" si="12"/>
        <v>35.917342599999998</v>
      </c>
      <c r="S32" s="1604">
        <f t="shared" si="8"/>
        <v>3.3305232424725766</v>
      </c>
    </row>
    <row r="33" spans="1:19" ht="31.5" x14ac:dyDescent="0.25">
      <c r="A33" s="1606" t="s">
        <v>999</v>
      </c>
      <c r="B33" s="361"/>
      <c r="C33" s="1607">
        <f>SUM(C14:C31)</f>
        <v>11576.28</v>
      </c>
      <c r="D33" s="1607">
        <f>SUM(D14:D31)</f>
        <v>1377.08</v>
      </c>
      <c r="E33" s="1607">
        <f>SUM(E14:E31)</f>
        <v>3171.6299999999997</v>
      </c>
      <c r="F33" s="1608">
        <f t="shared" si="13"/>
        <v>2.7397661424913702</v>
      </c>
      <c r="G33" s="1607">
        <f>SUM(G14:G31)</f>
        <v>4548.71</v>
      </c>
      <c r="H33" s="1608">
        <f t="shared" si="15"/>
        <v>3.9293365398901892</v>
      </c>
      <c r="I33" s="1608">
        <f>SUM(I14:I32)</f>
        <v>4649.1523679499996</v>
      </c>
      <c r="J33" s="1608">
        <f>SUM(J14:J32)</f>
        <v>829.89919029999987</v>
      </c>
      <c r="K33" s="1608">
        <f>SUM(K14:K32)</f>
        <v>1444.1120735</v>
      </c>
      <c r="L33" s="1608">
        <f>SUM(L14:L32)</f>
        <v>47.590204132483962</v>
      </c>
      <c r="M33" s="1608">
        <f>SUM(M14:M32)</f>
        <v>2274.0112637999996</v>
      </c>
      <c r="N33" s="1609">
        <f t="shared" si="17"/>
        <v>4.8912384104173885</v>
      </c>
      <c r="O33" s="1608">
        <f>SUM(O14:O32)</f>
        <v>4443.1523679499996</v>
      </c>
      <c r="P33" s="1608">
        <f>SUM(P14:P32)</f>
        <v>1935.3064810019514</v>
      </c>
      <c r="Q33" s="1608">
        <f>SUM(Q14:Q32)</f>
        <v>9092.3047358999993</v>
      </c>
      <c r="R33" s="1608">
        <f>SUM(R14:R32)</f>
        <v>4209.3177448019514</v>
      </c>
      <c r="S33" s="1604">
        <f t="shared" si="8"/>
        <v>4.6295387880939662</v>
      </c>
    </row>
    <row r="34" spans="1:19" ht="15.75" x14ac:dyDescent="0.25">
      <c r="A34" s="1603" t="s">
        <v>1000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1604"/>
    </row>
    <row r="35" spans="1:19" ht="47.25" x14ac:dyDescent="0.25">
      <c r="A35" s="1606" t="s">
        <v>1001</v>
      </c>
      <c r="B35" s="361">
        <v>67.388599999999997</v>
      </c>
      <c r="C35" s="361">
        <v>2932.93</v>
      </c>
      <c r="D35" s="361">
        <v>768.9</v>
      </c>
      <c r="E35" s="361">
        <v>1038.26</v>
      </c>
      <c r="F35" s="361">
        <v>3.54</v>
      </c>
      <c r="G35" s="361">
        <f>E35+D35</f>
        <v>1807.1599999999999</v>
      </c>
      <c r="H35" s="1604">
        <f>G35/C35*10</f>
        <v>6.1616199500158544</v>
      </c>
      <c r="I35" s="1604">
        <v>368.64516650000002</v>
      </c>
      <c r="J35" s="1613">
        <v>272.87</v>
      </c>
      <c r="K35" s="1613">
        <f>[34]Sheet3!H66</f>
        <v>140.13</v>
      </c>
      <c r="L35" s="1604">
        <f t="shared" si="10"/>
        <v>3.8012162570969172</v>
      </c>
      <c r="M35" s="1604">
        <f>J35+K35</f>
        <v>413</v>
      </c>
      <c r="N35" s="1605">
        <f t="shared" si="17"/>
        <v>11.203185000935038</v>
      </c>
      <c r="O35" s="1608">
        <f>[34]Sheet3!U66</f>
        <v>610</v>
      </c>
      <c r="P35" s="1608">
        <f>[34]Sheet3!V66</f>
        <v>400.77000000000004</v>
      </c>
      <c r="Q35" s="1604">
        <f>I35+O35</f>
        <v>978.64516649999996</v>
      </c>
      <c r="R35" s="1604">
        <f>M35+P35</f>
        <v>813.77</v>
      </c>
      <c r="S35" s="1604">
        <f t="shared" si="8"/>
        <v>8.3152712326812477</v>
      </c>
    </row>
    <row r="36" spans="1:19" ht="15.75" x14ac:dyDescent="0.25">
      <c r="A36" s="1614" t="s">
        <v>1002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1604"/>
    </row>
    <row r="37" spans="1:19" ht="47.25" x14ac:dyDescent="0.25">
      <c r="A37" s="1611" t="s">
        <v>1003</v>
      </c>
      <c r="B37" s="361">
        <v>4.3552</v>
      </c>
      <c r="C37" s="361">
        <v>181.05</v>
      </c>
      <c r="D37" s="361"/>
      <c r="E37" s="361">
        <v>9.23</v>
      </c>
      <c r="F37" s="361">
        <v>3.54</v>
      </c>
      <c r="G37" s="361">
        <f>E37+D37</f>
        <v>9.23</v>
      </c>
      <c r="H37" s="1604">
        <f>G37/C37*10</f>
        <v>0.50980392156862742</v>
      </c>
      <c r="I37" s="1604">
        <v>1046.9870467714916</v>
      </c>
      <c r="J37" s="1604">
        <v>2.7698630399999997</v>
      </c>
      <c r="K37" s="1604">
        <v>54.072595577499996</v>
      </c>
      <c r="L37" s="1604">
        <f>K37/I37*10</f>
        <v>0.51645906932888275</v>
      </c>
      <c r="M37" s="1604">
        <f>K37+J37</f>
        <v>56.842458617499993</v>
      </c>
      <c r="N37" s="1605">
        <f t="shared" si="17"/>
        <v>0.54291463101459025</v>
      </c>
      <c r="O37" s="1604">
        <f>[34]Sheet3!U8</f>
        <v>996.98704677148999</v>
      </c>
      <c r="P37" s="1604">
        <f>[34]Sheet3!V8</f>
        <v>54.12788546242696</v>
      </c>
      <c r="Q37" s="1604">
        <f>I37+O37</f>
        <v>2043.9740935429816</v>
      </c>
      <c r="R37" s="1604">
        <f>M37+P37</f>
        <v>110.97034407992695</v>
      </c>
      <c r="S37" s="1604">
        <f t="shared" si="8"/>
        <v>0.54291463101459025</v>
      </c>
    </row>
    <row r="38" spans="1:19" ht="63" x14ac:dyDescent="0.25">
      <c r="A38" s="1611" t="s">
        <v>1004</v>
      </c>
      <c r="B38" s="361">
        <v>10</v>
      </c>
      <c r="C38" s="361">
        <v>21.14</v>
      </c>
      <c r="D38" s="361"/>
      <c r="E38" s="361">
        <v>3.09</v>
      </c>
      <c r="F38" s="361">
        <v>4.54</v>
      </c>
      <c r="G38" s="361">
        <f t="shared" ref="G38:G49" si="18">E38+D38</f>
        <v>3.09</v>
      </c>
      <c r="H38" s="1604">
        <f t="shared" ref="H38:H50" si="19">G38/C38*10</f>
        <v>1.4616840113528853</v>
      </c>
      <c r="I38" s="1604">
        <v>45.991672000000001</v>
      </c>
      <c r="J38" s="1604">
        <v>0.2725933333333333</v>
      </c>
      <c r="K38" s="1604">
        <v>2.6799350640000004</v>
      </c>
      <c r="L38" s="1604">
        <f t="shared" ref="L38:L49" si="20">K38/I38*10</f>
        <v>0.58270007317846595</v>
      </c>
      <c r="M38" s="1604">
        <f t="shared" ref="M38:M49" si="21">K38+J38</f>
        <v>2.9525283973333338</v>
      </c>
      <c r="N38" s="1605">
        <f t="shared" si="17"/>
        <v>0.64197022394257242</v>
      </c>
      <c r="O38" s="1604">
        <f>[34]Sheet3!U23</f>
        <v>40.991672000000001</v>
      </c>
      <c r="P38" s="1604">
        <f>[34]Sheet3!V23</f>
        <v>2.6267392788400277</v>
      </c>
      <c r="Q38" s="1604">
        <f t="shared" ref="Q38:Q49" si="22">I38+O38</f>
        <v>86.983344000000002</v>
      </c>
      <c r="R38" s="1604">
        <f t="shared" ref="R38:R49" si="23">M38+P38</f>
        <v>5.5792676761733615</v>
      </c>
      <c r="S38" s="1604">
        <f t="shared" si="8"/>
        <v>0.64141793354982546</v>
      </c>
    </row>
    <row r="39" spans="1:19" ht="47.25" x14ac:dyDescent="0.25">
      <c r="A39" s="1603" t="s">
        <v>1005</v>
      </c>
      <c r="B39" s="361">
        <v>10</v>
      </c>
      <c r="C39" s="361">
        <v>51.31</v>
      </c>
      <c r="D39" s="361"/>
      <c r="E39" s="361">
        <v>9.39</v>
      </c>
      <c r="F39" s="361">
        <v>5.54</v>
      </c>
      <c r="G39" s="361">
        <f t="shared" si="18"/>
        <v>9.39</v>
      </c>
      <c r="H39" s="1604">
        <f t="shared" si="19"/>
        <v>1.8300526213213799</v>
      </c>
      <c r="I39" s="1604">
        <v>66.227159999999998</v>
      </c>
      <c r="J39" s="1604">
        <v>1.9779068879999999</v>
      </c>
      <c r="K39" s="1604">
        <v>9.1052974855999889</v>
      </c>
      <c r="L39" s="1604">
        <f t="shared" si="20"/>
        <v>1.374858515086558</v>
      </c>
      <c r="M39" s="1604">
        <f t="shared" si="21"/>
        <v>11.083204373599989</v>
      </c>
      <c r="N39" s="1605">
        <f t="shared" si="17"/>
        <v>1.6735134608822104</v>
      </c>
      <c r="O39" s="1604">
        <f>[34]Sheet3!U17</f>
        <v>61.227159999999998</v>
      </c>
      <c r="P39" s="1604">
        <f>[34]Sheet3!V17</f>
        <v>10.241679289707761</v>
      </c>
      <c r="Q39" s="1604">
        <f t="shared" si="22"/>
        <v>127.45432</v>
      </c>
      <c r="R39" s="1604">
        <f t="shared" si="23"/>
        <v>21.324883663307752</v>
      </c>
      <c r="S39" s="1604">
        <f t="shared" si="8"/>
        <v>1.6731393383376689</v>
      </c>
    </row>
    <row r="40" spans="1:19" ht="47.25" x14ac:dyDescent="0.25">
      <c r="A40" s="1603" t="s">
        <v>1006</v>
      </c>
      <c r="B40" s="361">
        <v>8.5</v>
      </c>
      <c r="C40" s="361">
        <v>243.8</v>
      </c>
      <c r="D40" s="361"/>
      <c r="E40" s="361">
        <v>19.260000000000002</v>
      </c>
      <c r="F40" s="361">
        <v>6.54</v>
      </c>
      <c r="G40" s="361">
        <f t="shared" si="18"/>
        <v>19.260000000000002</v>
      </c>
      <c r="H40" s="1604">
        <f t="shared" si="19"/>
        <v>0.78999179655455287</v>
      </c>
      <c r="I40" s="1604">
        <v>815.46910000000003</v>
      </c>
      <c r="J40" s="1604">
        <v>3.3155528399999996</v>
      </c>
      <c r="K40" s="1604">
        <v>54.606209987599989</v>
      </c>
      <c r="L40" s="1604">
        <f t="shared" si="20"/>
        <v>0.66962941928271691</v>
      </c>
      <c r="M40" s="1604">
        <f t="shared" si="21"/>
        <v>57.921762827599991</v>
      </c>
      <c r="N40" s="1605">
        <f t="shared" si="17"/>
        <v>0.71028764704389147</v>
      </c>
      <c r="O40" s="1604">
        <f>[34]Sheet3!U10</f>
        <v>805.46910000000003</v>
      </c>
      <c r="P40" s="1604">
        <f>[34]Sheet3!V10</f>
        <v>57.207174140409506</v>
      </c>
      <c r="Q40" s="1604">
        <f t="shared" si="22"/>
        <v>1620.9382000000001</v>
      </c>
      <c r="R40" s="1604">
        <f t="shared" si="23"/>
        <v>115.1289369680095</v>
      </c>
      <c r="S40" s="1604">
        <f t="shared" si="8"/>
        <v>0.71026111278029913</v>
      </c>
    </row>
    <row r="41" spans="1:19" ht="47.25" x14ac:dyDescent="0.25">
      <c r="A41" s="1603" t="s">
        <v>1007</v>
      </c>
      <c r="B41" s="361">
        <v>10</v>
      </c>
      <c r="C41" s="361">
        <v>107.92</v>
      </c>
      <c r="D41" s="361"/>
      <c r="E41" s="361">
        <v>10.79</v>
      </c>
      <c r="F41" s="361">
        <v>7.54</v>
      </c>
      <c r="G41" s="361">
        <f t="shared" si="18"/>
        <v>10.79</v>
      </c>
      <c r="H41" s="1604">
        <f t="shared" si="19"/>
        <v>0.99981467753891762</v>
      </c>
      <c r="I41" s="1604">
        <v>138.32322048000003</v>
      </c>
      <c r="J41" s="1604">
        <v>1.17676</v>
      </c>
      <c r="K41" s="1604">
        <v>17.994698979479985</v>
      </c>
      <c r="L41" s="1604">
        <f t="shared" si="20"/>
        <v>1.3009167164439912</v>
      </c>
      <c r="M41" s="1604">
        <f t="shared" si="21"/>
        <v>19.171458979479986</v>
      </c>
      <c r="N41" s="1605">
        <f t="shared" si="17"/>
        <v>1.3859899236695374</v>
      </c>
      <c r="O41" s="1604">
        <f>[34]Sheet3!U11</f>
        <v>128.32322048</v>
      </c>
      <c r="P41" s="1604">
        <f>[34]Sheet3!V11</f>
        <v>17.787574621543357</v>
      </c>
      <c r="Q41" s="1604">
        <f t="shared" si="22"/>
        <v>266.64644096000006</v>
      </c>
      <c r="R41" s="1604">
        <f t="shared" si="23"/>
        <v>36.959033601023343</v>
      </c>
      <c r="S41" s="1604">
        <f t="shared" si="8"/>
        <v>1.3860688883737102</v>
      </c>
    </row>
    <row r="42" spans="1:19" ht="31.5" x14ac:dyDescent="0.25">
      <c r="A42" s="1603" t="s">
        <v>1159</v>
      </c>
      <c r="B42" s="361"/>
      <c r="C42" s="361"/>
      <c r="D42" s="361"/>
      <c r="E42" s="361"/>
      <c r="F42" s="361"/>
      <c r="G42" s="361"/>
      <c r="H42" s="1604"/>
      <c r="I42" s="1604"/>
      <c r="J42" s="1604"/>
      <c r="K42" s="1604">
        <v>4.0827179897999999</v>
      </c>
      <c r="L42" s="1604"/>
      <c r="M42" s="1604">
        <f>K42+J42</f>
        <v>4.0827179897999999</v>
      </c>
      <c r="N42" s="1605"/>
      <c r="O42" s="361"/>
      <c r="P42" s="1604">
        <f>[34]Sheet3!V12</f>
        <v>4.08</v>
      </c>
      <c r="Q42" s="1604">
        <f t="shared" si="22"/>
        <v>0</v>
      </c>
      <c r="R42" s="1604">
        <f t="shared" si="23"/>
        <v>8.1627179898000009</v>
      </c>
      <c r="S42" s="1604"/>
    </row>
    <row r="43" spans="1:19" ht="47.25" x14ac:dyDescent="0.25">
      <c r="A43" s="1603" t="s">
        <v>1008</v>
      </c>
      <c r="B43" s="361">
        <v>10</v>
      </c>
      <c r="C43" s="361">
        <v>44.24</v>
      </c>
      <c r="D43" s="361"/>
      <c r="E43" s="361">
        <v>8.23</v>
      </c>
      <c r="F43" s="361">
        <v>8.5399999999999991</v>
      </c>
      <c r="G43" s="361">
        <f t="shared" si="18"/>
        <v>8.23</v>
      </c>
      <c r="H43" s="1604">
        <f t="shared" si="19"/>
        <v>1.8603074141048825</v>
      </c>
      <c r="I43" s="1604">
        <v>94.534771800000001</v>
      </c>
      <c r="J43" s="1604">
        <v>2.4978166080000004</v>
      </c>
      <c r="K43" s="1604">
        <v>16.063244632824023</v>
      </c>
      <c r="L43" s="1604">
        <f t="shared" si="20"/>
        <v>1.6991890208195355</v>
      </c>
      <c r="M43" s="1604">
        <f t="shared" si="21"/>
        <v>18.561061240824024</v>
      </c>
      <c r="N43" s="1605">
        <f t="shared" si="17"/>
        <v>1.9634110166460488</v>
      </c>
      <c r="O43" s="1604">
        <f>[34]Sheet3!U18</f>
        <v>84.534771800000001</v>
      </c>
      <c r="P43" s="1604">
        <f>[34]Sheet3!V18</f>
        <v>16.576434465145553</v>
      </c>
      <c r="Q43" s="1604">
        <f t="shared" si="22"/>
        <v>179.0695436</v>
      </c>
      <c r="R43" s="1604">
        <f t="shared" si="23"/>
        <v>35.137495705969577</v>
      </c>
      <c r="S43" s="1604">
        <f t="shared" si="8"/>
        <v>1.9622262390112875</v>
      </c>
    </row>
    <row r="44" spans="1:19" ht="63" x14ac:dyDescent="0.25">
      <c r="A44" s="1611" t="s">
        <v>1009</v>
      </c>
      <c r="B44" s="361">
        <v>10</v>
      </c>
      <c r="C44" s="361">
        <v>4.8</v>
      </c>
      <c r="D44" s="361"/>
      <c r="E44" s="361">
        <v>2.52</v>
      </c>
      <c r="F44" s="361">
        <v>9.5399999999999991</v>
      </c>
      <c r="G44" s="361">
        <f t="shared" si="18"/>
        <v>2.52</v>
      </c>
      <c r="H44" s="1604">
        <f t="shared" si="19"/>
        <v>5.25</v>
      </c>
      <c r="I44" s="1604">
        <v>6.6643046799999999</v>
      </c>
      <c r="J44" s="1604">
        <v>0.93721680000000007</v>
      </c>
      <c r="K44" s="1604">
        <v>2.2874150470615997</v>
      </c>
      <c r="L44" s="1604">
        <f t="shared" si="20"/>
        <v>3.4323386413083377</v>
      </c>
      <c r="M44" s="1604">
        <f t="shared" si="21"/>
        <v>3.2246318470616</v>
      </c>
      <c r="N44" s="1605">
        <f t="shared" si="17"/>
        <v>4.8386620988967151</v>
      </c>
      <c r="O44" s="1604">
        <f>[34]Sheet3!U9</f>
        <v>4.6643046799999999</v>
      </c>
      <c r="P44" s="1604">
        <f>[34]Sheet3!V9</f>
        <v>1.6861461418199999</v>
      </c>
      <c r="Q44" s="1604">
        <f t="shared" si="22"/>
        <v>11.32860936</v>
      </c>
      <c r="R44" s="1604">
        <f t="shared" si="23"/>
        <v>4.9107779888816001</v>
      </c>
      <c r="S44" s="1604">
        <f t="shared" si="8"/>
        <v>4.3348462576712947</v>
      </c>
    </row>
    <row r="45" spans="1:19" ht="31.5" x14ac:dyDescent="0.25">
      <c r="A45" s="1603" t="s">
        <v>1010</v>
      </c>
      <c r="B45" s="361">
        <v>10</v>
      </c>
      <c r="C45" s="361">
        <v>36.54</v>
      </c>
      <c r="D45" s="361"/>
      <c r="E45" s="361">
        <v>8.84</v>
      </c>
      <c r="F45" s="361">
        <v>10.54</v>
      </c>
      <c r="G45" s="361">
        <f t="shared" si="18"/>
        <v>8.84</v>
      </c>
      <c r="H45" s="1604">
        <f t="shared" si="19"/>
        <v>2.4192665571975915</v>
      </c>
      <c r="I45" s="1604">
        <v>66.076374999999999</v>
      </c>
      <c r="J45" s="1604">
        <v>1.6027545599999999</v>
      </c>
      <c r="K45" s="1604">
        <v>9.9706099789760021</v>
      </c>
      <c r="L45" s="1604">
        <f t="shared" si="20"/>
        <v>1.5089523266032681</v>
      </c>
      <c r="M45" s="1604">
        <f t="shared" si="21"/>
        <v>11.573364538976001</v>
      </c>
      <c r="N45" s="1605">
        <f t="shared" si="17"/>
        <v>1.7515132358541161</v>
      </c>
      <c r="O45" s="1604">
        <f>[34]Sheet3!U15</f>
        <v>61.076374999999999</v>
      </c>
      <c r="P45" s="1604">
        <f>[34]Sheet3!V15</f>
        <v>10.693521231705185</v>
      </c>
      <c r="Q45" s="1604">
        <f t="shared" si="22"/>
        <v>127.15275</v>
      </c>
      <c r="R45" s="1604">
        <f t="shared" si="23"/>
        <v>22.266885770681185</v>
      </c>
      <c r="S45" s="1604">
        <f t="shared" si="8"/>
        <v>1.7511918358573595</v>
      </c>
    </row>
    <row r="46" spans="1:19" ht="47.25" x14ac:dyDescent="0.25">
      <c r="A46" s="1603" t="s">
        <v>1011</v>
      </c>
      <c r="B46" s="361">
        <v>10</v>
      </c>
      <c r="C46" s="361">
        <v>34.840000000000003</v>
      </c>
      <c r="D46" s="361"/>
      <c r="E46" s="361">
        <v>5.71</v>
      </c>
      <c r="F46" s="361">
        <v>11.54</v>
      </c>
      <c r="G46" s="361">
        <f t="shared" si="18"/>
        <v>5.71</v>
      </c>
      <c r="H46" s="1604">
        <f t="shared" si="19"/>
        <v>1.6389207807118253</v>
      </c>
      <c r="I46" s="1604">
        <v>56.652976799999998</v>
      </c>
      <c r="J46" s="1604">
        <v>0.99022456800000036</v>
      </c>
      <c r="K46" s="1604">
        <v>7.7698480758000024</v>
      </c>
      <c r="L46" s="1604">
        <f t="shared" si="20"/>
        <v>1.3714809908806067</v>
      </c>
      <c r="M46" s="1604">
        <f t="shared" si="21"/>
        <v>8.7600726438000027</v>
      </c>
      <c r="N46" s="1605">
        <f t="shared" si="17"/>
        <v>1.5462687291305766</v>
      </c>
      <c r="O46" s="1604">
        <f>[34]Sheet3!U16</f>
        <v>51.652976799999998</v>
      </c>
      <c r="P46" s="1604">
        <f>[34]Sheet3!V16</f>
        <v>7.9855573506989703</v>
      </c>
      <c r="Q46" s="1604">
        <f t="shared" si="22"/>
        <v>108.3059536</v>
      </c>
      <c r="R46" s="1604">
        <f t="shared" si="23"/>
        <v>16.745629994498973</v>
      </c>
      <c r="S46" s="1604">
        <f t="shared" si="8"/>
        <v>1.5461412265797154</v>
      </c>
    </row>
    <row r="47" spans="1:19" ht="47.25" x14ac:dyDescent="0.25">
      <c r="A47" s="1611" t="s">
        <v>1012</v>
      </c>
      <c r="B47" s="361">
        <v>10</v>
      </c>
      <c r="C47" s="361">
        <v>7.24</v>
      </c>
      <c r="D47" s="361"/>
      <c r="E47" s="361">
        <v>1.99</v>
      </c>
      <c r="F47" s="361">
        <v>12.54</v>
      </c>
      <c r="G47" s="361">
        <f t="shared" si="18"/>
        <v>1.99</v>
      </c>
      <c r="H47" s="1604">
        <f t="shared" si="19"/>
        <v>2.7486187845303869</v>
      </c>
      <c r="I47" s="1604">
        <v>11.834064</v>
      </c>
      <c r="J47" s="1604">
        <v>8.9279999999999998E-2</v>
      </c>
      <c r="K47" s="1604">
        <v>2.1841975823999995</v>
      </c>
      <c r="L47" s="1604">
        <f t="shared" si="20"/>
        <v>1.845686809197584</v>
      </c>
      <c r="M47" s="1604">
        <f t="shared" si="21"/>
        <v>2.2734775823999995</v>
      </c>
      <c r="N47" s="1605">
        <f t="shared" si="17"/>
        <v>1.9211300381677838</v>
      </c>
      <c r="O47" s="1604">
        <f>[34]Sheet3!U13</f>
        <v>8.8340639999999997</v>
      </c>
      <c r="P47" s="1604">
        <f>[34]Sheet3!V13</f>
        <v>1.6918658770638271</v>
      </c>
      <c r="Q47" s="1604">
        <f t="shared" si="22"/>
        <v>20.668127999999999</v>
      </c>
      <c r="R47" s="1604">
        <f t="shared" si="23"/>
        <v>3.9653434594638268</v>
      </c>
      <c r="S47" s="1604">
        <f t="shared" si="8"/>
        <v>1.9185789150637287</v>
      </c>
    </row>
    <row r="48" spans="1:19" ht="63" x14ac:dyDescent="0.25">
      <c r="A48" s="1603" t="s">
        <v>1013</v>
      </c>
      <c r="B48" s="361">
        <v>10</v>
      </c>
      <c r="C48" s="361">
        <v>24.27</v>
      </c>
      <c r="D48" s="361"/>
      <c r="E48" s="361">
        <v>3.18</v>
      </c>
      <c r="F48" s="361">
        <v>13.54</v>
      </c>
      <c r="G48" s="361">
        <f t="shared" si="18"/>
        <v>3.18</v>
      </c>
      <c r="H48" s="1604">
        <f t="shared" si="19"/>
        <v>1.3102595797280594</v>
      </c>
      <c r="I48" s="1604">
        <v>38.628128640000007</v>
      </c>
      <c r="J48" s="361">
        <v>0.35</v>
      </c>
      <c r="K48" s="361">
        <v>2.64</v>
      </c>
      <c r="L48" s="1604">
        <f t="shared" si="20"/>
        <v>0.68343978674292816</v>
      </c>
      <c r="M48" s="1604">
        <f t="shared" si="21"/>
        <v>2.99</v>
      </c>
      <c r="N48" s="1605">
        <f t="shared" si="17"/>
        <v>0.77404733422778604</v>
      </c>
      <c r="O48" s="1604">
        <f>[34]Sheet3!U20+[34]Sheet3!U21</f>
        <v>33.62812864</v>
      </c>
      <c r="P48" s="1604">
        <f>[34]Sheet3!V20+[34]Sheet3!V21</f>
        <v>3.8269493007785274</v>
      </c>
      <c r="Q48" s="1604">
        <f t="shared" si="22"/>
        <v>72.25625728</v>
      </c>
      <c r="R48" s="1604">
        <f t="shared" si="23"/>
        <v>6.8169493007785276</v>
      </c>
      <c r="S48" s="1604">
        <f t="shared" si="8"/>
        <v>0.94344068699298778</v>
      </c>
    </row>
    <row r="49" spans="1:19" ht="31.5" x14ac:dyDescent="0.25">
      <c r="A49" s="1603" t="s">
        <v>1014</v>
      </c>
      <c r="B49" s="361">
        <v>10</v>
      </c>
      <c r="C49" s="361">
        <v>9.14</v>
      </c>
      <c r="D49" s="361"/>
      <c r="E49" s="361">
        <v>0.98</v>
      </c>
      <c r="F49" s="361">
        <v>14.54</v>
      </c>
      <c r="G49" s="361">
        <f t="shared" si="18"/>
        <v>0.98</v>
      </c>
      <c r="H49" s="1604">
        <f t="shared" si="19"/>
        <v>1.072210065645514</v>
      </c>
      <c r="I49" s="1604">
        <v>9.312754</v>
      </c>
      <c r="J49" s="1604">
        <v>5.0426666666666661E-2</v>
      </c>
      <c r="K49" s="1604">
        <v>1.1058861067421599</v>
      </c>
      <c r="L49" s="1604">
        <f t="shared" si="20"/>
        <v>1.1874963160652154</v>
      </c>
      <c r="M49" s="1604">
        <f t="shared" si="21"/>
        <v>1.1563127734088265</v>
      </c>
      <c r="N49" s="1605">
        <f t="shared" si="17"/>
        <v>1.2416442798863006</v>
      </c>
      <c r="O49" s="1604">
        <f>[34]Sheet3!U22</f>
        <v>7.312754</v>
      </c>
      <c r="P49" s="1604">
        <f>[34]Sheet3!V22</f>
        <v>0.91453231087887366</v>
      </c>
      <c r="Q49" s="1604">
        <f t="shared" si="22"/>
        <v>16.625508</v>
      </c>
      <c r="R49" s="1604">
        <f t="shared" si="23"/>
        <v>2.0708450842877002</v>
      </c>
      <c r="S49" s="1604">
        <f t="shared" si="8"/>
        <v>1.2455830428084966</v>
      </c>
    </row>
    <row r="50" spans="1:19" ht="15.75" x14ac:dyDescent="0.25">
      <c r="A50" s="1606" t="s">
        <v>1015</v>
      </c>
      <c r="B50" s="361"/>
      <c r="C50" s="1608">
        <f>SUM(C37:C49)</f>
        <v>766.29</v>
      </c>
      <c r="D50" s="1608">
        <f t="shared" ref="D50:I50" si="24">SUM(D37:D49)</f>
        <v>0</v>
      </c>
      <c r="E50" s="1608">
        <f t="shared" si="24"/>
        <v>83.21</v>
      </c>
      <c r="F50" s="1608">
        <f t="shared" si="24"/>
        <v>108.47999999999996</v>
      </c>
      <c r="G50" s="1608">
        <f t="shared" si="24"/>
        <v>83.21</v>
      </c>
      <c r="H50" s="1608">
        <f t="shared" si="19"/>
        <v>1.0858813243028096</v>
      </c>
      <c r="I50" s="1608">
        <f t="shared" si="24"/>
        <v>2396.7015741714918</v>
      </c>
      <c r="J50" s="1608">
        <f>SUM(J37:J49)</f>
        <v>16.030395303999999</v>
      </c>
      <c r="K50" s="1608">
        <f>SUM(K37:K49)</f>
        <v>184.56265650778371</v>
      </c>
      <c r="L50" s="1608">
        <f>SUM(L37:L49)</f>
        <v>16.17314768493809</v>
      </c>
      <c r="M50" s="1608">
        <f>SUM(M37:M49)</f>
        <v>200.59305181178374</v>
      </c>
      <c r="N50" s="1604">
        <f t="shared" si="17"/>
        <v>0.83695464622509852</v>
      </c>
      <c r="O50" s="1608">
        <f>SUM(O37:O49)</f>
        <v>2284.7015741714899</v>
      </c>
      <c r="P50" s="1608">
        <f>SUM(P37:P49)</f>
        <v>189.44605947101857</v>
      </c>
      <c r="Q50" s="1608">
        <f>SUM(Q37:Q49)</f>
        <v>4681.4031483429817</v>
      </c>
      <c r="R50" s="1608">
        <f>SUM(R37:R49)</f>
        <v>390.03911128280231</v>
      </c>
      <c r="S50" s="1604">
        <f t="shared" si="8"/>
        <v>0.83316710593673093</v>
      </c>
    </row>
    <row r="51" spans="1:19" ht="15.75" x14ac:dyDescent="0.25">
      <c r="A51" s="1603" t="s">
        <v>1016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1604"/>
    </row>
    <row r="52" spans="1:19" ht="63" x14ac:dyDescent="0.25">
      <c r="A52" s="1603" t="s">
        <v>1017</v>
      </c>
      <c r="B52" s="361">
        <v>53.674100000000003</v>
      </c>
      <c r="C52" s="1615">
        <v>48.69</v>
      </c>
      <c r="D52" s="1615"/>
      <c r="E52" s="1615">
        <v>31.5</v>
      </c>
      <c r="F52" s="1615">
        <v>6.47</v>
      </c>
      <c r="G52" s="1615">
        <f>E52+D52</f>
        <v>31.5</v>
      </c>
      <c r="H52" s="1616">
        <f>G52/C52*10</f>
        <v>6.4695009242144188</v>
      </c>
      <c r="I52" s="1604">
        <f>'[33]Actuals apprd'!F96</f>
        <v>0</v>
      </c>
      <c r="J52" s="361"/>
      <c r="K52" s="1604">
        <f>'[33]Actuals apprd'!K96</f>
        <v>10.4941812</v>
      </c>
      <c r="L52" s="361"/>
      <c r="M52" s="1604">
        <f>K52+J52</f>
        <v>10.4941812</v>
      </c>
      <c r="N52" s="1605"/>
      <c r="O52" s="1604">
        <f>[34]Sheet3!U92</f>
        <v>67.099999999999994</v>
      </c>
      <c r="P52" s="1604">
        <f>[34]Sheet3!V92</f>
        <v>10.4941812</v>
      </c>
      <c r="Q52" s="1604">
        <f>I52+O52</f>
        <v>67.099999999999994</v>
      </c>
      <c r="R52" s="1604">
        <f>M52+P52</f>
        <v>20.9883624</v>
      </c>
      <c r="S52" s="1604">
        <f t="shared" si="8"/>
        <v>3.127922861400894</v>
      </c>
    </row>
    <row r="53" spans="1:19" ht="47.25" x14ac:dyDescent="0.25">
      <c r="A53" s="1603" t="s">
        <v>1018</v>
      </c>
      <c r="B53" s="361">
        <v>53.674100000000003</v>
      </c>
      <c r="C53" s="361">
        <v>9.6199999999999992</v>
      </c>
      <c r="D53" s="361"/>
      <c r="E53" s="361">
        <v>0.87</v>
      </c>
      <c r="F53" s="361">
        <v>0.9</v>
      </c>
      <c r="G53" s="1615">
        <f>E53+D53</f>
        <v>0.87</v>
      </c>
      <c r="H53" s="1616">
        <f>G53/C53*10</f>
        <v>0.90436590436590447</v>
      </c>
      <c r="I53" s="1604">
        <f>'[33]Actuals apprd'!F97</f>
        <v>0</v>
      </c>
      <c r="J53" s="361"/>
      <c r="K53" s="361"/>
      <c r="L53" s="361"/>
      <c r="M53" s="361"/>
      <c r="N53" s="361"/>
      <c r="O53" s="1604">
        <f>[34]Sheet3!U93</f>
        <v>17.13</v>
      </c>
      <c r="P53" s="1604">
        <f>[34]Sheet3!V93</f>
        <v>2.27</v>
      </c>
      <c r="Q53" s="1604">
        <f>I53+O53</f>
        <v>17.13</v>
      </c>
      <c r="R53" s="1604">
        <f>M53+P53</f>
        <v>2.27</v>
      </c>
      <c r="S53" s="1604">
        <f t="shared" si="8"/>
        <v>1.3251605370694688</v>
      </c>
    </row>
    <row r="54" spans="1:19" ht="15.75" x14ac:dyDescent="0.25">
      <c r="A54" s="1606" t="s">
        <v>1019</v>
      </c>
      <c r="B54" s="1607"/>
      <c r="C54" s="1607">
        <f>SUM(C52:C53)</f>
        <v>58.309999999999995</v>
      </c>
      <c r="D54" s="1607"/>
      <c r="E54" s="1607">
        <f>SUM(E52:E53)</f>
        <v>32.369999999999997</v>
      </c>
      <c r="F54" s="361">
        <v>0.9</v>
      </c>
      <c r="G54" s="1607">
        <f>SUM(G52:G53)</f>
        <v>32.369999999999997</v>
      </c>
      <c r="H54" s="1616"/>
      <c r="I54" s="1608">
        <f t="shared" ref="I54:N54" si="25">SUM(I52:I53)</f>
        <v>0</v>
      </c>
      <c r="J54" s="1608">
        <f t="shared" si="25"/>
        <v>0</v>
      </c>
      <c r="K54" s="1608">
        <f t="shared" si="25"/>
        <v>10.4941812</v>
      </c>
      <c r="L54" s="1608">
        <f t="shared" si="25"/>
        <v>0</v>
      </c>
      <c r="M54" s="1608">
        <f t="shared" si="25"/>
        <v>10.4941812</v>
      </c>
      <c r="N54" s="1608">
        <f t="shared" si="25"/>
        <v>0</v>
      </c>
      <c r="O54" s="1608">
        <f>SUM(O52:O53)</f>
        <v>84.22999999999999</v>
      </c>
      <c r="P54" s="1608">
        <f>SUM(P52:P53)</f>
        <v>12.764181199999999</v>
      </c>
      <c r="Q54" s="1608">
        <f>SUM(Q52:Q53)</f>
        <v>84.22999999999999</v>
      </c>
      <c r="R54" s="1608">
        <f>SUM(R52:R53)</f>
        <v>23.258362399999999</v>
      </c>
      <c r="S54" s="1604">
        <f t="shared" si="8"/>
        <v>2.7612919862281848</v>
      </c>
    </row>
    <row r="55" spans="1:19" ht="31.5" x14ac:dyDescent="0.25">
      <c r="A55" s="1603" t="s">
        <v>1020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1604"/>
    </row>
    <row r="56" spans="1:19" ht="15.75" x14ac:dyDescent="0.25">
      <c r="A56" s="1603"/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1604"/>
    </row>
    <row r="57" spans="1:19" ht="15.75" x14ac:dyDescent="0.25">
      <c r="A57" s="1603" t="s">
        <v>1021</v>
      </c>
      <c r="B57" s="361"/>
      <c r="C57" s="361">
        <v>2693.76</v>
      </c>
      <c r="D57" s="361"/>
      <c r="E57" s="361">
        <v>958.9</v>
      </c>
      <c r="F57" s="361"/>
      <c r="G57" s="1615">
        <f t="shared" ref="G57:G71" si="26">E57+D57</f>
        <v>958.9</v>
      </c>
      <c r="H57" s="1616">
        <f t="shared" ref="H57:H72" si="27">G57/C57*10</f>
        <v>3.5597083630315982</v>
      </c>
      <c r="I57" s="1604">
        <v>1543.4749616499998</v>
      </c>
      <c r="J57" s="361"/>
      <c r="K57" s="1604">
        <v>579.33728289999999</v>
      </c>
      <c r="L57" s="361"/>
      <c r="M57" s="1604">
        <f t="shared" ref="M57:M76" si="28">K57+J57</f>
        <v>579.33728289999999</v>
      </c>
      <c r="N57" s="1605">
        <f t="shared" ref="N57:N62" si="29">M57/I57*10</f>
        <v>3.7534608418958673</v>
      </c>
      <c r="O57" s="1604">
        <f>[34]Sheet3!U76</f>
        <v>1238.4749616500001</v>
      </c>
      <c r="P57" s="1604">
        <f>[34]Sheet3!V76</f>
        <v>464.85672722217612</v>
      </c>
      <c r="Q57" s="1604">
        <f>I57+O57</f>
        <v>2781.9499232999997</v>
      </c>
      <c r="R57" s="1604">
        <f>M57+P57</f>
        <v>1044.1940101221762</v>
      </c>
      <c r="S57" s="1604">
        <f t="shared" si="8"/>
        <v>3.7534608418958681</v>
      </c>
    </row>
    <row r="58" spans="1:19" ht="31.5" x14ac:dyDescent="0.25">
      <c r="A58" s="1603" t="s">
        <v>1022</v>
      </c>
      <c r="B58" s="361"/>
      <c r="C58" s="361">
        <v>6.92</v>
      </c>
      <c r="D58" s="361"/>
      <c r="E58" s="361">
        <v>2.48</v>
      </c>
      <c r="F58" s="361"/>
      <c r="G58" s="1615">
        <f t="shared" si="26"/>
        <v>2.48</v>
      </c>
      <c r="H58" s="1616">
        <f t="shared" si="27"/>
        <v>3.5838150289017339</v>
      </c>
      <c r="I58" s="1604">
        <v>4.3794300000000002</v>
      </c>
      <c r="J58" s="361"/>
      <c r="K58" s="1604">
        <v>1.7498549567062427</v>
      </c>
      <c r="L58" s="361"/>
      <c r="M58" s="1604">
        <f t="shared" si="28"/>
        <v>1.7498549567062427</v>
      </c>
      <c r="N58" s="1605">
        <f t="shared" si="29"/>
        <v>3.9956226191678885</v>
      </c>
      <c r="O58" s="1604">
        <f>[34]Sheet3!U77</f>
        <v>4.3794300000000002</v>
      </c>
      <c r="P58" s="1604">
        <f>[34]Sheet3!V77</f>
        <v>1.7498549567062425</v>
      </c>
      <c r="Q58" s="1604">
        <f>I58+O58</f>
        <v>8.7588600000000003</v>
      </c>
      <c r="R58" s="1604">
        <f>M58+P58</f>
        <v>3.4997099134124854</v>
      </c>
      <c r="S58" s="1604">
        <f t="shared" si="8"/>
        <v>3.9956226191678885</v>
      </c>
    </row>
    <row r="59" spans="1:19" ht="15.75" x14ac:dyDescent="0.25">
      <c r="A59" s="1603" t="s">
        <v>1023</v>
      </c>
      <c r="B59" s="361"/>
      <c r="C59" s="361">
        <v>342.53</v>
      </c>
      <c r="D59" s="361"/>
      <c r="E59" s="361">
        <v>108.58</v>
      </c>
      <c r="F59" s="361"/>
      <c r="G59" s="1615">
        <f t="shared" si="26"/>
        <v>108.58</v>
      </c>
      <c r="H59" s="1616">
        <f t="shared" si="27"/>
        <v>3.1699413190085539</v>
      </c>
      <c r="I59" s="1604">
        <v>282.69341245000004</v>
      </c>
      <c r="J59" s="361"/>
      <c r="K59" s="1604">
        <v>84.769893499999995</v>
      </c>
      <c r="L59" s="361"/>
      <c r="M59" s="1604">
        <f t="shared" si="28"/>
        <v>84.769893499999995</v>
      </c>
      <c r="N59" s="1605">
        <f t="shared" si="29"/>
        <v>2.9986511806317111</v>
      </c>
      <c r="O59" s="1604">
        <f>[34]Sheet3!U75</f>
        <v>182.69341244999998</v>
      </c>
      <c r="P59" s="1604">
        <f>[34]Sheet3!V75</f>
        <v>54.783381693682855</v>
      </c>
      <c r="Q59" s="1604">
        <f>I59+O59</f>
        <v>465.38682490000002</v>
      </c>
      <c r="R59" s="1604">
        <f>M59+P59</f>
        <v>139.55327519368285</v>
      </c>
      <c r="S59" s="1604">
        <f t="shared" si="8"/>
        <v>2.9986511806317111</v>
      </c>
    </row>
    <row r="60" spans="1:19" ht="15.75" x14ac:dyDescent="0.25">
      <c r="A60" s="1603" t="s">
        <v>1024</v>
      </c>
      <c r="B60" s="361"/>
      <c r="C60" s="361">
        <v>0</v>
      </c>
      <c r="D60" s="361"/>
      <c r="E60" s="361"/>
      <c r="F60" s="361"/>
      <c r="G60" s="1615">
        <f t="shared" si="26"/>
        <v>0</v>
      </c>
      <c r="H60" s="1616"/>
      <c r="I60" s="361"/>
      <c r="J60" s="361"/>
      <c r="K60" s="361"/>
      <c r="L60" s="361"/>
      <c r="M60" s="1604">
        <f t="shared" si="28"/>
        <v>0</v>
      </c>
      <c r="N60" s="1605"/>
      <c r="O60" s="1604"/>
      <c r="P60" s="1604"/>
      <c r="Q60" s="361"/>
      <c r="R60" s="361"/>
      <c r="S60" s="1604"/>
    </row>
    <row r="61" spans="1:19" ht="15.75" x14ac:dyDescent="0.25">
      <c r="A61" s="1603" t="s">
        <v>1025</v>
      </c>
      <c r="B61" s="361"/>
      <c r="C61" s="361">
        <v>0</v>
      </c>
      <c r="D61" s="361"/>
      <c r="E61" s="361"/>
      <c r="F61" s="361"/>
      <c r="G61" s="1615">
        <f t="shared" si="26"/>
        <v>0</v>
      </c>
      <c r="H61" s="1616"/>
      <c r="I61" s="361"/>
      <c r="J61" s="361"/>
      <c r="K61" s="361"/>
      <c r="L61" s="361"/>
      <c r="M61" s="1604">
        <f t="shared" si="28"/>
        <v>0</v>
      </c>
      <c r="N61" s="1605"/>
      <c r="O61" s="361"/>
      <c r="P61" s="361"/>
      <c r="Q61" s="361"/>
      <c r="R61" s="361"/>
      <c r="S61" s="1604"/>
    </row>
    <row r="62" spans="1:19" ht="15.75" x14ac:dyDescent="0.25">
      <c r="A62" s="1603" t="s">
        <v>1026</v>
      </c>
      <c r="B62" s="361"/>
      <c r="C62" s="361">
        <v>63.87</v>
      </c>
      <c r="D62" s="361"/>
      <c r="E62" s="361">
        <v>33.53</v>
      </c>
      <c r="F62" s="361"/>
      <c r="G62" s="1615">
        <f t="shared" si="26"/>
        <v>33.53</v>
      </c>
      <c r="H62" s="1616">
        <f t="shared" si="27"/>
        <v>5.2497260059495856</v>
      </c>
      <c r="I62" s="1604">
        <v>37.202939999999998</v>
      </c>
      <c r="J62" s="361"/>
      <c r="K62" s="1604">
        <v>21.5773771</v>
      </c>
      <c r="L62" s="361"/>
      <c r="M62" s="1604">
        <f t="shared" si="28"/>
        <v>21.5773771</v>
      </c>
      <c r="N62" s="1605">
        <f t="shared" si="29"/>
        <v>5.7999118080452785</v>
      </c>
      <c r="O62" s="1604">
        <f>[34]Sheet3!U74</f>
        <v>37.202939999999998</v>
      </c>
      <c r="P62" s="1604">
        <f>[34]Sheet3!V74</f>
        <v>21.577377100000003</v>
      </c>
      <c r="Q62" s="1604">
        <f>I62+O62</f>
        <v>74.405879999999996</v>
      </c>
      <c r="R62" s="1604">
        <f>M62+P62</f>
        <v>43.154754199999999</v>
      </c>
      <c r="S62" s="1604">
        <f t="shared" si="8"/>
        <v>5.7999118080452785</v>
      </c>
    </row>
    <row r="63" spans="1:19" ht="15.75" x14ac:dyDescent="0.25">
      <c r="A63" s="1606" t="s">
        <v>1027</v>
      </c>
      <c r="B63" s="361"/>
      <c r="C63" s="361"/>
      <c r="D63" s="361"/>
      <c r="E63" s="361"/>
      <c r="F63" s="361"/>
      <c r="G63" s="1615">
        <f t="shared" si="26"/>
        <v>0</v>
      </c>
      <c r="H63" s="1616"/>
      <c r="I63" s="361"/>
      <c r="J63" s="361"/>
      <c r="K63" s="361"/>
      <c r="L63" s="361"/>
      <c r="M63" s="1604">
        <f t="shared" si="28"/>
        <v>0</v>
      </c>
      <c r="N63" s="1605"/>
      <c r="O63" s="361"/>
      <c r="P63" s="361"/>
      <c r="Q63" s="361"/>
      <c r="R63" s="361"/>
      <c r="S63" s="1604"/>
    </row>
    <row r="64" spans="1:19" ht="15.75" x14ac:dyDescent="0.25">
      <c r="A64" s="1603" t="s">
        <v>1049</v>
      </c>
      <c r="B64" s="361"/>
      <c r="C64" s="361">
        <v>1645.31</v>
      </c>
      <c r="D64" s="361"/>
      <c r="E64" s="361">
        <v>899.99</v>
      </c>
      <c r="F64" s="361"/>
      <c r="G64" s="1615">
        <f t="shared" si="26"/>
        <v>899.99</v>
      </c>
      <c r="H64" s="1616">
        <f t="shared" si="27"/>
        <v>5.4700330028991493</v>
      </c>
      <c r="I64" s="1604">
        <v>241.984026</v>
      </c>
      <c r="J64" s="361"/>
      <c r="K64" s="1604">
        <v>156.51492670000002</v>
      </c>
      <c r="L64" s="361"/>
      <c r="M64" s="1604">
        <f t="shared" si="28"/>
        <v>156.51492670000002</v>
      </c>
      <c r="N64" s="1605">
        <f t="shared" ref="N64:N75" si="30">M64/I64*10</f>
        <v>6.4679858950689582</v>
      </c>
      <c r="O64" s="1604">
        <f>241.984026-10</f>
        <v>231.984026</v>
      </c>
      <c r="P64" s="1604">
        <f>156.5149267-2</f>
        <v>154.51492669999999</v>
      </c>
      <c r="Q64" s="1604">
        <f t="shared" ref="Q64:Q71" si="31">I64+O64</f>
        <v>473.968052</v>
      </c>
      <c r="R64" s="1604">
        <f t="shared" ref="R64:R71" si="32">M64+P64</f>
        <v>311.02985339999998</v>
      </c>
      <c r="S64" s="1604">
        <f t="shared" si="8"/>
        <v>6.5622535545919023</v>
      </c>
    </row>
    <row r="65" spans="1:19" ht="15.75" x14ac:dyDescent="0.25">
      <c r="A65" s="1603" t="s">
        <v>1050</v>
      </c>
      <c r="B65" s="361"/>
      <c r="C65" s="361"/>
      <c r="D65" s="361"/>
      <c r="E65" s="361"/>
      <c r="F65" s="361"/>
      <c r="G65" s="1615">
        <f t="shared" si="26"/>
        <v>0</v>
      </c>
      <c r="H65" s="1616"/>
      <c r="I65" s="1604">
        <v>111.81999445000001</v>
      </c>
      <c r="J65" s="361"/>
      <c r="K65" s="1604">
        <v>72.279896899999997</v>
      </c>
      <c r="L65" s="361"/>
      <c r="M65" s="1604">
        <f t="shared" si="28"/>
        <v>72.279896899999997</v>
      </c>
      <c r="N65" s="1605">
        <f t="shared" si="30"/>
        <v>6.4639510362629959</v>
      </c>
      <c r="O65" s="1604">
        <f>111.81999445-10</f>
        <v>101.81999445</v>
      </c>
      <c r="P65" s="1604">
        <v>72.279896899999997</v>
      </c>
      <c r="Q65" s="1604">
        <f t="shared" si="31"/>
        <v>213.63998889999999</v>
      </c>
      <c r="R65" s="1604">
        <f t="shared" si="32"/>
        <v>144.55979379999999</v>
      </c>
      <c r="S65" s="1604">
        <f t="shared" si="8"/>
        <v>6.7665138228248614</v>
      </c>
    </row>
    <row r="66" spans="1:19" ht="15.75" x14ac:dyDescent="0.25">
      <c r="A66" s="1603" t="s">
        <v>1051</v>
      </c>
      <c r="B66" s="361"/>
      <c r="C66" s="361"/>
      <c r="D66" s="361"/>
      <c r="E66" s="361"/>
      <c r="F66" s="361"/>
      <c r="G66" s="1615">
        <f t="shared" si="26"/>
        <v>0</v>
      </c>
      <c r="H66" s="1616"/>
      <c r="I66" s="1604">
        <v>648.95084049999991</v>
      </c>
      <c r="J66" s="1604"/>
      <c r="K66" s="1604">
        <v>260.03972408099997</v>
      </c>
      <c r="L66" s="361"/>
      <c r="M66" s="1604">
        <f t="shared" si="28"/>
        <v>260.03972408099997</v>
      </c>
      <c r="N66" s="1605">
        <f t="shared" si="30"/>
        <v>4.007078931905629</v>
      </c>
      <c r="O66" s="1604">
        <v>648.95084049999991</v>
      </c>
      <c r="P66" s="1604">
        <f>260.039724081-5</f>
        <v>255.03972408099997</v>
      </c>
      <c r="Q66" s="1604">
        <f t="shared" si="31"/>
        <v>1297.9016809999998</v>
      </c>
      <c r="R66" s="1604">
        <f t="shared" si="32"/>
        <v>515.07944816199995</v>
      </c>
      <c r="S66" s="1604">
        <f t="shared" si="8"/>
        <v>3.9685552126347852</v>
      </c>
    </row>
    <row r="67" spans="1:19" ht="31.5" x14ac:dyDescent="0.25">
      <c r="A67" s="1603" t="s">
        <v>1160</v>
      </c>
      <c r="B67" s="361"/>
      <c r="C67" s="361">
        <v>798.61</v>
      </c>
      <c r="D67" s="361"/>
      <c r="E67" s="361">
        <v>359.51</v>
      </c>
      <c r="F67" s="361"/>
      <c r="G67" s="1615">
        <f t="shared" si="26"/>
        <v>359.51</v>
      </c>
      <c r="H67" s="1616">
        <f t="shared" si="27"/>
        <v>4.5016966980127968</v>
      </c>
      <c r="I67" s="1604">
        <v>462.71166199999999</v>
      </c>
      <c r="J67" s="361"/>
      <c r="K67" s="361">
        <v>174.36049740000001</v>
      </c>
      <c r="L67" s="361"/>
      <c r="M67" s="1604">
        <f t="shared" si="28"/>
        <v>174.36049740000001</v>
      </c>
      <c r="N67" s="1605">
        <f t="shared" si="30"/>
        <v>3.7682321782501349</v>
      </c>
      <c r="O67" s="1604">
        <f>462.711662-30</f>
        <v>432.71166199999999</v>
      </c>
      <c r="P67" s="1604">
        <f>174.3604974-4</f>
        <v>170.36049740000001</v>
      </c>
      <c r="Q67" s="1604">
        <f t="shared" si="31"/>
        <v>895.42332399999998</v>
      </c>
      <c r="R67" s="1604">
        <f t="shared" si="32"/>
        <v>344.72099480000003</v>
      </c>
      <c r="S67" s="1604">
        <f t="shared" si="8"/>
        <v>3.8498103138532946</v>
      </c>
    </row>
    <row r="68" spans="1:19" ht="15.75" x14ac:dyDescent="0.25">
      <c r="A68" s="1603" t="s">
        <v>1161</v>
      </c>
      <c r="B68" s="361"/>
      <c r="C68" s="361">
        <v>776.42</v>
      </c>
      <c r="D68" s="361"/>
      <c r="E68" s="361">
        <v>224.38</v>
      </c>
      <c r="F68" s="361"/>
      <c r="G68" s="1615">
        <f t="shared" si="26"/>
        <v>224.38</v>
      </c>
      <c r="H68" s="1616">
        <f t="shared" si="27"/>
        <v>2.8899307076067076</v>
      </c>
      <c r="I68" s="1604">
        <v>741.86385899999993</v>
      </c>
      <c r="J68" s="361"/>
      <c r="K68" s="361">
        <v>205.87505160000001</v>
      </c>
      <c r="L68" s="361"/>
      <c r="M68" s="1604">
        <f t="shared" si="28"/>
        <v>205.87505160000001</v>
      </c>
      <c r="N68" s="1605">
        <f t="shared" si="30"/>
        <v>2.7751055547780772</v>
      </c>
      <c r="O68" s="1604">
        <v>741.86385900000005</v>
      </c>
      <c r="P68" s="1604">
        <v>205.87505160000001</v>
      </c>
      <c r="Q68" s="1604">
        <f t="shared" si="31"/>
        <v>1483.7277180000001</v>
      </c>
      <c r="R68" s="1604">
        <f t="shared" si="32"/>
        <v>411.75010320000001</v>
      </c>
      <c r="S68" s="1604">
        <f t="shared" si="8"/>
        <v>2.7751055547780767</v>
      </c>
    </row>
    <row r="69" spans="1:19" ht="15.75" x14ac:dyDescent="0.25">
      <c r="A69" s="1603" t="s">
        <v>1053</v>
      </c>
      <c r="B69" s="361"/>
      <c r="C69" s="361">
        <v>56.21</v>
      </c>
      <c r="D69" s="361"/>
      <c r="E69" s="361">
        <v>59.19</v>
      </c>
      <c r="F69" s="361"/>
      <c r="G69" s="1615">
        <f t="shared" si="26"/>
        <v>59.19</v>
      </c>
      <c r="H69" s="1616">
        <f t="shared" si="27"/>
        <v>10.530154776730118</v>
      </c>
      <c r="I69" s="1604">
        <v>25.719127</v>
      </c>
      <c r="J69" s="361"/>
      <c r="K69" s="361">
        <v>28.273023200000001</v>
      </c>
      <c r="L69" s="361"/>
      <c r="M69" s="1604">
        <f t="shared" si="28"/>
        <v>28.273023200000001</v>
      </c>
      <c r="N69" s="1605">
        <f t="shared" si="30"/>
        <v>10.992994902198664</v>
      </c>
      <c r="O69" s="1604">
        <v>25.719127</v>
      </c>
      <c r="P69" s="1604">
        <v>28.273023200000001</v>
      </c>
      <c r="Q69" s="1604">
        <f t="shared" si="31"/>
        <v>51.438254000000001</v>
      </c>
      <c r="R69" s="1604">
        <f t="shared" si="32"/>
        <v>56.546046400000002</v>
      </c>
      <c r="S69" s="1604">
        <f t="shared" si="8"/>
        <v>10.992994902198664</v>
      </c>
    </row>
    <row r="70" spans="1:19" ht="15.75" x14ac:dyDescent="0.25">
      <c r="A70" s="1603" t="s">
        <v>1054</v>
      </c>
      <c r="B70" s="361"/>
      <c r="C70" s="361">
        <v>463.9</v>
      </c>
      <c r="D70" s="361"/>
      <c r="E70" s="361">
        <v>220.35</v>
      </c>
      <c r="F70" s="361"/>
      <c r="G70" s="1615">
        <f t="shared" si="26"/>
        <v>220.35</v>
      </c>
      <c r="H70" s="1616">
        <f t="shared" si="27"/>
        <v>4.749946109075232</v>
      </c>
      <c r="I70" s="1604">
        <v>323.25397087939632</v>
      </c>
      <c r="J70" s="361"/>
      <c r="K70" s="361">
        <v>156.89080931199999</v>
      </c>
      <c r="L70" s="361"/>
      <c r="M70" s="1604">
        <f t="shared" si="28"/>
        <v>156.89080931199999</v>
      </c>
      <c r="N70" s="1605">
        <f t="shared" si="30"/>
        <v>4.8534843635543394</v>
      </c>
      <c r="O70" s="1604">
        <v>323.25397087939632</v>
      </c>
      <c r="P70" s="1604">
        <v>156.89080931199999</v>
      </c>
      <c r="Q70" s="1604">
        <f t="shared" si="31"/>
        <v>646.50794175879264</v>
      </c>
      <c r="R70" s="1604">
        <f t="shared" si="32"/>
        <v>313.78161862399998</v>
      </c>
      <c r="S70" s="1604">
        <f t="shared" si="8"/>
        <v>4.8534843635543394</v>
      </c>
    </row>
    <row r="71" spans="1:19" ht="31.5" x14ac:dyDescent="0.25">
      <c r="A71" s="1603" t="s">
        <v>1055</v>
      </c>
      <c r="B71" s="361"/>
      <c r="C71" s="361">
        <v>3</v>
      </c>
      <c r="D71" s="361"/>
      <c r="E71" s="361">
        <v>1.07</v>
      </c>
      <c r="F71" s="361"/>
      <c r="G71" s="1615">
        <f t="shared" si="26"/>
        <v>1.07</v>
      </c>
      <c r="H71" s="1616">
        <f t="shared" si="27"/>
        <v>3.5666666666666669</v>
      </c>
      <c r="I71" s="1604">
        <v>1.8859999999999999</v>
      </c>
      <c r="J71" s="361"/>
      <c r="K71" s="1604">
        <v>1.1312260000000001</v>
      </c>
      <c r="L71" s="361"/>
      <c r="M71" s="1604">
        <f t="shared" si="28"/>
        <v>1.1312260000000001</v>
      </c>
      <c r="N71" s="1605">
        <f t="shared" si="30"/>
        <v>5.998016967126194</v>
      </c>
      <c r="O71" s="1604">
        <v>1.8859999999999999</v>
      </c>
      <c r="P71" s="1604">
        <v>1.1312260000000001</v>
      </c>
      <c r="Q71" s="1604">
        <f t="shared" si="31"/>
        <v>3.7719999999999998</v>
      </c>
      <c r="R71" s="1604">
        <f t="shared" si="32"/>
        <v>2.2624520000000001</v>
      </c>
      <c r="S71" s="1604">
        <f t="shared" ref="S71:S87" si="33">R71/Q71*10</f>
        <v>5.998016967126194</v>
      </c>
    </row>
    <row r="72" spans="1:19" ht="15.75" x14ac:dyDescent="0.25">
      <c r="A72" s="1606" t="s">
        <v>1030</v>
      </c>
      <c r="B72" s="361"/>
      <c r="C72" s="1607">
        <f>SUM(C57:C71)</f>
        <v>6850.5299999999988</v>
      </c>
      <c r="D72" s="1607">
        <f t="shared" ref="D72:R72" si="34">SUM(D57:D71)</f>
        <v>0</v>
      </c>
      <c r="E72" s="1607">
        <f t="shared" si="34"/>
        <v>2867.98</v>
      </c>
      <c r="F72" s="1607">
        <f t="shared" si="34"/>
        <v>0</v>
      </c>
      <c r="G72" s="1607">
        <f t="shared" si="34"/>
        <v>2867.98</v>
      </c>
      <c r="H72" s="1608">
        <f t="shared" si="27"/>
        <v>4.1865081971759857</v>
      </c>
      <c r="I72" s="1607">
        <f t="shared" si="34"/>
        <v>4425.9402239293968</v>
      </c>
      <c r="J72" s="1607">
        <f t="shared" si="34"/>
        <v>0</v>
      </c>
      <c r="K72" s="1607">
        <f t="shared" si="34"/>
        <v>1742.7995636497062</v>
      </c>
      <c r="L72" s="1607">
        <f t="shared" si="34"/>
        <v>0</v>
      </c>
      <c r="M72" s="1607">
        <f t="shared" si="34"/>
        <v>1742.7995636497062</v>
      </c>
      <c r="N72" s="1605">
        <f t="shared" si="30"/>
        <v>3.9376934063118236</v>
      </c>
      <c r="O72" s="1608">
        <f t="shared" si="34"/>
        <v>3970.9402239293963</v>
      </c>
      <c r="P72" s="1608">
        <f t="shared" si="34"/>
        <v>1587.3324961655653</v>
      </c>
      <c r="Q72" s="1608">
        <f t="shared" si="34"/>
        <v>8396.8804478587936</v>
      </c>
      <c r="R72" s="1608">
        <f t="shared" si="34"/>
        <v>3330.1320598152715</v>
      </c>
      <c r="S72" s="1604">
        <f t="shared" si="33"/>
        <v>3.9659157713320257</v>
      </c>
    </row>
    <row r="73" spans="1:19" ht="31.5" x14ac:dyDescent="0.25">
      <c r="A73" s="1606" t="s">
        <v>1162</v>
      </c>
      <c r="B73" s="361"/>
      <c r="C73" s="361">
        <v>235.21</v>
      </c>
      <c r="D73" s="361"/>
      <c r="E73" s="361">
        <v>95.02</v>
      </c>
      <c r="F73" s="361"/>
      <c r="G73" s="1615">
        <f>E73+D73</f>
        <v>95.02</v>
      </c>
      <c r="H73" s="1616">
        <f>G73/C73*10</f>
        <v>4.0397942264359505</v>
      </c>
      <c r="I73" s="1604">
        <v>72.472919000000005</v>
      </c>
      <c r="J73" s="361"/>
      <c r="K73" s="1604">
        <v>33.2871156</v>
      </c>
      <c r="L73" s="361"/>
      <c r="M73" s="1604">
        <f t="shared" si="28"/>
        <v>33.2871156</v>
      </c>
      <c r="N73" s="1605">
        <f t="shared" si="30"/>
        <v>4.593041933359963</v>
      </c>
      <c r="O73" s="1604">
        <v>72.472919000000005</v>
      </c>
      <c r="P73" s="1604">
        <v>33.130000000000003</v>
      </c>
      <c r="Q73" s="1604">
        <f>I73+O73</f>
        <v>144.94583800000001</v>
      </c>
      <c r="R73" s="1604">
        <f>M73+P73</f>
        <v>66.417115600000002</v>
      </c>
      <c r="S73" s="1604">
        <f t="shared" si="33"/>
        <v>4.5822023258094511</v>
      </c>
    </row>
    <row r="74" spans="1:19" ht="31.5" x14ac:dyDescent="0.25">
      <c r="A74" s="1606" t="s">
        <v>1163</v>
      </c>
      <c r="B74" s="361"/>
      <c r="C74" s="361">
        <v>937.92</v>
      </c>
      <c r="D74" s="361"/>
      <c r="E74" s="361">
        <v>277.62</v>
      </c>
      <c r="F74" s="361"/>
      <c r="G74" s="1615">
        <f>E74+D74</f>
        <v>277.62</v>
      </c>
      <c r="H74" s="1616">
        <f>G74/C74*10</f>
        <v>2.959953940634596</v>
      </c>
      <c r="I74" s="1604">
        <v>290.24411102160002</v>
      </c>
      <c r="J74" s="361"/>
      <c r="K74" s="1604">
        <v>119.9793603</v>
      </c>
      <c r="L74" s="361"/>
      <c r="M74" s="1604">
        <f t="shared" si="28"/>
        <v>119.9793603</v>
      </c>
      <c r="N74" s="1605">
        <f t="shared" si="30"/>
        <v>4.1337396951034471</v>
      </c>
      <c r="O74" s="1604">
        <v>290.24411102160002</v>
      </c>
      <c r="P74" s="1604">
        <v>117.82</v>
      </c>
      <c r="Q74" s="1604">
        <f>I74+O74</f>
        <v>580.48822204320004</v>
      </c>
      <c r="R74" s="1604">
        <f>M74+P74</f>
        <v>237.79936029999999</v>
      </c>
      <c r="S74" s="1604">
        <f t="shared" si="33"/>
        <v>4.0965406578447841</v>
      </c>
    </row>
    <row r="75" spans="1:19" ht="31.5" x14ac:dyDescent="0.25">
      <c r="A75" s="1606" t="s">
        <v>1032</v>
      </c>
      <c r="B75" s="361"/>
      <c r="C75" s="361">
        <v>575</v>
      </c>
      <c r="D75" s="361"/>
      <c r="E75" s="361">
        <v>269.68</v>
      </c>
      <c r="F75" s="361"/>
      <c r="G75" s="1615">
        <f>E75+D75</f>
        <v>269.68</v>
      </c>
      <c r="H75" s="1616">
        <f>G75/C75*10</f>
        <v>4.6900869565217391</v>
      </c>
      <c r="I75" s="1604">
        <v>120.590065</v>
      </c>
      <c r="J75" s="361"/>
      <c r="K75" s="1604">
        <v>63.144835700000002</v>
      </c>
      <c r="L75" s="361"/>
      <c r="M75" s="1604">
        <f t="shared" si="28"/>
        <v>63.144835700000002</v>
      </c>
      <c r="N75" s="1605">
        <f t="shared" si="30"/>
        <v>5.236321557667293</v>
      </c>
      <c r="O75" s="1604">
        <v>40.590064999999996</v>
      </c>
      <c r="P75" s="1604">
        <v>21.254263238661665</v>
      </c>
      <c r="Q75" s="1604">
        <f>I75+O75</f>
        <v>161.18012999999999</v>
      </c>
      <c r="R75" s="1604">
        <f>M75+P75</f>
        <v>84.399098938661666</v>
      </c>
      <c r="S75" s="1604">
        <f t="shared" si="33"/>
        <v>5.236321557667293</v>
      </c>
    </row>
    <row r="76" spans="1:19" ht="15.75" x14ac:dyDescent="0.25">
      <c r="A76" s="1606" t="s">
        <v>1164</v>
      </c>
      <c r="B76" s="361"/>
      <c r="C76" s="361"/>
      <c r="D76" s="361"/>
      <c r="E76" s="361"/>
      <c r="F76" s="361"/>
      <c r="G76" s="361"/>
      <c r="H76" s="361"/>
      <c r="I76" s="1604">
        <v>-46.333624999999998</v>
      </c>
      <c r="J76" s="361"/>
      <c r="K76" s="1604">
        <v>-14.770426375</v>
      </c>
      <c r="L76" s="361"/>
      <c r="M76" s="1604">
        <f t="shared" si="28"/>
        <v>-14.770426375</v>
      </c>
      <c r="N76" s="1605"/>
      <c r="O76" s="1604">
        <v>20.6</v>
      </c>
      <c r="P76" s="1604">
        <v>10.780426374999999</v>
      </c>
      <c r="Q76" s="1604">
        <f>I76+O76</f>
        <v>-25.733624999999996</v>
      </c>
      <c r="R76" s="1604">
        <f>M76+P76</f>
        <v>-3.99</v>
      </c>
      <c r="S76" s="1604">
        <f t="shared" si="33"/>
        <v>1.5505005610363876</v>
      </c>
    </row>
    <row r="77" spans="1:19" ht="15.75" x14ac:dyDescent="0.25">
      <c r="A77" s="1603"/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1604"/>
    </row>
    <row r="78" spans="1:19" ht="15.75" x14ac:dyDescent="0.25">
      <c r="A78" s="1603"/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1604"/>
    </row>
    <row r="79" spans="1:19" ht="15.75" x14ac:dyDescent="0.25">
      <c r="A79" s="1603"/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1604"/>
    </row>
    <row r="80" spans="1:19" ht="31.5" x14ac:dyDescent="0.25">
      <c r="A80" s="1603" t="s">
        <v>1034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1604"/>
    </row>
    <row r="81" spans="1:20" ht="15.75" x14ac:dyDescent="0.25">
      <c r="A81" s="1603" t="s">
        <v>1035</v>
      </c>
      <c r="B81" s="361"/>
      <c r="C81" s="361"/>
      <c r="D81" s="361">
        <v>829.46</v>
      </c>
      <c r="E81" s="361"/>
      <c r="F81" s="361"/>
      <c r="G81" s="1615">
        <f>E81+D81</f>
        <v>829.46</v>
      </c>
      <c r="H81" s="361"/>
      <c r="I81" s="361"/>
      <c r="J81" s="361"/>
      <c r="K81" s="1604">
        <v>787.45634079999991</v>
      </c>
      <c r="L81" s="361"/>
      <c r="M81" s="1604">
        <f>K81+J81</f>
        <v>787.45634079999991</v>
      </c>
      <c r="N81" s="361"/>
      <c r="O81" s="361"/>
      <c r="P81" s="1604">
        <v>879.40634079999995</v>
      </c>
      <c r="Q81" s="1604">
        <f>I81+O81</f>
        <v>0</v>
      </c>
      <c r="R81" s="1604">
        <f>M81+P81</f>
        <v>1666.8626815999999</v>
      </c>
      <c r="S81" s="1604"/>
    </row>
    <row r="82" spans="1:20" ht="15.75" x14ac:dyDescent="0.25">
      <c r="A82" s="1603" t="s">
        <v>1036</v>
      </c>
      <c r="B82" s="361"/>
      <c r="C82" s="361"/>
      <c r="D82" s="361">
        <v>1741.81</v>
      </c>
      <c r="E82" s="361"/>
      <c r="F82" s="361"/>
      <c r="G82" s="1615">
        <f>E82+D82</f>
        <v>1741.81</v>
      </c>
      <c r="H82" s="361"/>
      <c r="I82" s="361"/>
      <c r="J82" s="361"/>
      <c r="K82" s="1604">
        <v>910.62351179999996</v>
      </c>
      <c r="L82" s="361"/>
      <c r="M82" s="1604">
        <f>K82+J82</f>
        <v>910.62351179999996</v>
      </c>
      <c r="N82" s="361"/>
      <c r="O82" s="361"/>
      <c r="P82" s="1604">
        <v>1029.98</v>
      </c>
      <c r="Q82" s="1604">
        <f>I82+O82</f>
        <v>0</v>
      </c>
      <c r="R82" s="1604">
        <f>M82+P82</f>
        <v>1940.6035118</v>
      </c>
      <c r="S82" s="1604"/>
    </row>
    <row r="83" spans="1:20" ht="15.75" x14ac:dyDescent="0.25">
      <c r="A83" s="1603" t="s">
        <v>1037</v>
      </c>
      <c r="B83" s="361"/>
      <c r="C83" s="361"/>
      <c r="D83" s="361">
        <v>9.81</v>
      </c>
      <c r="E83" s="361"/>
      <c r="F83" s="361"/>
      <c r="G83" s="1615">
        <f>E83+D83</f>
        <v>9.81</v>
      </c>
      <c r="H83" s="361"/>
      <c r="I83" s="361"/>
      <c r="J83" s="361"/>
      <c r="K83" s="1604">
        <v>6.4450002</v>
      </c>
      <c r="L83" s="361"/>
      <c r="M83" s="1604">
        <f>K83+J83</f>
        <v>6.4450002</v>
      </c>
      <c r="N83" s="361"/>
      <c r="O83" s="361"/>
      <c r="P83" s="1604">
        <v>6.12</v>
      </c>
      <c r="Q83" s="1604">
        <f>I83+O83</f>
        <v>0</v>
      </c>
      <c r="R83" s="1604">
        <f>M83+P83</f>
        <v>12.5650002</v>
      </c>
      <c r="S83" s="1604"/>
    </row>
    <row r="84" spans="1:20" ht="31.5" x14ac:dyDescent="0.25">
      <c r="A84" s="1601" t="s">
        <v>1038</v>
      </c>
      <c r="B84" s="361"/>
      <c r="C84" s="361"/>
      <c r="D84" s="361">
        <v>1.37</v>
      </c>
      <c r="E84" s="361"/>
      <c r="F84" s="361"/>
      <c r="G84" s="1615">
        <f>E84+D84</f>
        <v>1.37</v>
      </c>
      <c r="H84" s="361"/>
      <c r="I84" s="361"/>
      <c r="J84" s="361"/>
      <c r="K84" s="1604">
        <v>3.34</v>
      </c>
      <c r="L84" s="361"/>
      <c r="M84" s="1604">
        <f>K84+J84</f>
        <v>3.34</v>
      </c>
      <c r="N84" s="361"/>
      <c r="O84" s="361"/>
      <c r="P84" s="1604">
        <v>3.4699999999999998</v>
      </c>
      <c r="Q84" s="1604">
        <f>I84+O84</f>
        <v>0</v>
      </c>
      <c r="R84" s="1604">
        <f>M84+P84</f>
        <v>6.81</v>
      </c>
      <c r="S84" s="1604"/>
    </row>
    <row r="85" spans="1:20" ht="15.75" x14ac:dyDescent="0.25">
      <c r="A85" s="1601" t="s">
        <v>1165</v>
      </c>
      <c r="B85" s="361"/>
      <c r="C85" s="361"/>
      <c r="D85" s="361"/>
      <c r="E85" s="361"/>
      <c r="F85" s="361"/>
      <c r="G85" s="361"/>
      <c r="H85" s="361"/>
      <c r="I85" s="1604">
        <v>853.31</v>
      </c>
      <c r="J85" s="361"/>
      <c r="K85" s="1604">
        <v>450.02</v>
      </c>
      <c r="L85" s="361"/>
      <c r="M85" s="1604">
        <f>K85+J85</f>
        <v>450.02</v>
      </c>
      <c r="N85" s="361"/>
      <c r="O85" s="1604">
        <v>570.66999999999996</v>
      </c>
      <c r="P85" s="1604">
        <v>147</v>
      </c>
      <c r="Q85" s="1604">
        <f>I85+O85</f>
        <v>1423.98</v>
      </c>
      <c r="R85" s="1604">
        <f>M85+P85</f>
        <v>597.02</v>
      </c>
      <c r="S85" s="1604">
        <f t="shared" si="33"/>
        <v>4.1926150648183258</v>
      </c>
    </row>
    <row r="86" spans="1:20" ht="15.75" x14ac:dyDescent="0.25">
      <c r="A86" s="1601" t="s">
        <v>1166</v>
      </c>
      <c r="B86" s="361"/>
      <c r="C86" s="361"/>
      <c r="D86" s="361"/>
      <c r="E86" s="361"/>
      <c r="F86" s="361"/>
      <c r="G86" s="361"/>
      <c r="H86" s="361"/>
      <c r="I86" s="1604"/>
      <c r="J86" s="361"/>
      <c r="K86" s="1604"/>
      <c r="L86" s="361"/>
      <c r="M86" s="1604"/>
      <c r="N86" s="361"/>
      <c r="O86" s="361"/>
      <c r="P86" s="361"/>
      <c r="Q86" s="361"/>
      <c r="R86" s="361"/>
      <c r="S86" s="1604"/>
    </row>
    <row r="87" spans="1:20" ht="47.25" x14ac:dyDescent="0.25">
      <c r="A87" s="1606" t="s">
        <v>1040</v>
      </c>
      <c r="B87" s="361"/>
      <c r="C87" s="1607">
        <f>C12+C33+C35+C50+C54+C72+C73+C74+C75+C81+C82+C83+C84</f>
        <v>33960.54</v>
      </c>
      <c r="D87" s="1607">
        <f>D12+D33+D35+D50+D54+D72+D73+D74+D75+D81+D82+D83+D84</f>
        <v>6790.5400000000009</v>
      </c>
      <c r="E87" s="1607">
        <f>E12+E33+E35+E50+E54+E72+E73+E74+E75+E81+E82+E83+E84</f>
        <v>11509.800000000001</v>
      </c>
      <c r="F87" s="1607">
        <f>F12+F33+F35+F50+F54+F72+F73+F74+F75+F81+F82+F83+F84</f>
        <v>115.65976614249134</v>
      </c>
      <c r="G87" s="1607">
        <f>G12+G33+G35+G50+G54+G72+G73+G74+G75+G81+G82+G83+G84</f>
        <v>18300.340000000004</v>
      </c>
      <c r="H87" s="1608">
        <f>G87/C87*10</f>
        <v>5.3887070111370434</v>
      </c>
      <c r="I87" s="1608">
        <f>I12+I33+I35+I50+I54+I72+I73+I74+I75+I81+I82+I83+I84+I76+I85+I86</f>
        <v>14794.196919527618</v>
      </c>
      <c r="J87" s="1607">
        <f>J12+J33+J35+J50+J54+J72+J73+J74+J75+J81+J82+J83+J84</f>
        <v>2359.4265550360533</v>
      </c>
      <c r="K87" s="1608">
        <f>K12+K33+K35+K50+K54+K72+K73+K74+K75+K81+K82+K83+K84+K86</f>
        <v>5968.5054264240089</v>
      </c>
      <c r="L87" s="1607"/>
      <c r="M87" s="1608">
        <f>M12+M33+M35+M50+M54+M72+M73+M74+M75+M81+M82+M83+M84+M76+M85+M86</f>
        <v>8763.1815550850606</v>
      </c>
      <c r="N87" s="1609">
        <f>M87/I87*10</f>
        <v>5.9233911801715236</v>
      </c>
      <c r="O87" s="1608">
        <f>O12+O33+O35+O50+O54+O72+O73+O74+O75+O81+O82+O83+O84+O76+O85+O86</f>
        <v>13930.070765027613</v>
      </c>
      <c r="P87" s="1608">
        <f>P12+P33+P35+P50+P54+P72+P73+P74+P75+P81+P82+P83+P84+P76+P85+P86</f>
        <v>7942.7671916820436</v>
      </c>
      <c r="Q87" s="1608">
        <f>Q12+Q33+Q35+Q50+Q54+Q72+Q73+Q74+Q75+Q81+Q82+Q83+Q84+Q76+Q85+Q86</f>
        <v>28724.267684555227</v>
      </c>
      <c r="R87" s="1608">
        <f>R12+R33+R35+R50+R54+R72+R73+R74+R75+R81+R82+R83+R84+R76+R85+R86</f>
        <v>16705.948746767102</v>
      </c>
      <c r="S87" s="1608">
        <f t="shared" si="33"/>
        <v>5.8159702904278863</v>
      </c>
      <c r="T87" s="1345"/>
    </row>
    <row r="88" spans="1:20" x14ac:dyDescent="0.25">
      <c r="L88" s="1344">
        <f>L82-L80</f>
        <v>0</v>
      </c>
      <c r="M88" s="1343"/>
      <c r="N88" s="1343"/>
      <c r="O88" s="1343"/>
      <c r="P88" s="1343"/>
    </row>
    <row r="89" spans="1:20" x14ac:dyDescent="0.25">
      <c r="L89" s="1343"/>
      <c r="M89" s="1343"/>
      <c r="N89" s="1343"/>
      <c r="O89" s="1343"/>
      <c r="P89" s="1343"/>
      <c r="R89" s="1345">
        <f>(R81+R82+R83)</f>
        <v>3620.0311935999998</v>
      </c>
    </row>
    <row r="90" spans="1:20" x14ac:dyDescent="0.25">
      <c r="R90" s="1345">
        <f>R87-R89</f>
        <v>13085.917553167103</v>
      </c>
    </row>
  </sheetData>
  <mergeCells count="10">
    <mergeCell ref="R1:S1"/>
    <mergeCell ref="B2:G2"/>
    <mergeCell ref="I2:N2"/>
    <mergeCell ref="O2:P2"/>
    <mergeCell ref="Q2:S2"/>
    <mergeCell ref="E3:F3"/>
    <mergeCell ref="G3:H3"/>
    <mergeCell ref="K3:L3"/>
    <mergeCell ref="M3:N3"/>
    <mergeCell ref="A1:Q1"/>
  </mergeCells>
  <pageMargins left="0.7" right="0.7" top="0.75" bottom="0.75" header="0.3" footer="0.3"/>
  <pageSetup paperSize="8" scale="66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topLeftCell="A93" zoomScaleNormal="100" workbookViewId="0">
      <selection activeCell="Q113" sqref="Q113:Q114"/>
    </sheetView>
  </sheetViews>
  <sheetFormatPr defaultRowHeight="16.5" x14ac:dyDescent="0.2"/>
  <cols>
    <col min="1" max="1" width="5" style="1701" customWidth="1"/>
    <col min="2" max="2" width="30" style="1629" customWidth="1"/>
    <col min="3" max="3" width="9" style="1702" customWidth="1"/>
    <col min="4" max="4" width="10.28515625" style="1679" customWidth="1"/>
    <col min="5" max="5" width="9.7109375" style="1679" customWidth="1"/>
    <col min="6" max="6" width="12.7109375" style="1679" customWidth="1"/>
    <col min="7" max="7" width="13.140625" style="1703" customWidth="1"/>
    <col min="8" max="8" width="11.85546875" style="1703" customWidth="1"/>
    <col min="9" max="9" width="9.5703125" style="1629" customWidth="1"/>
    <col min="10" max="10" width="11.85546875" style="1629" customWidth="1"/>
    <col min="11" max="11" width="12" style="1629" customWidth="1"/>
    <col min="12" max="12" width="12.7109375" style="1679" customWidth="1"/>
    <col min="13" max="13" width="8.7109375" style="1629" customWidth="1"/>
    <col min="14" max="14" width="10.28515625" style="1679" customWidth="1"/>
    <col min="15" max="15" width="12.28515625" style="1629" customWidth="1"/>
    <col min="16" max="16" width="10.5703125" style="1704" customWidth="1"/>
    <col min="17" max="17" width="10.42578125" style="1628" customWidth="1"/>
    <col min="18" max="18" width="11.85546875" style="1629" bestFit="1" customWidth="1"/>
    <col min="19" max="19" width="9.140625" style="1629"/>
    <col min="20" max="20" width="11" style="1629" bestFit="1" customWidth="1"/>
    <col min="21" max="16384" width="9.140625" style="1629"/>
  </cols>
  <sheetData>
    <row r="1" spans="1:18" s="1618" customFormat="1" ht="14.25" x14ac:dyDescent="0.2">
      <c r="A1" s="1617"/>
      <c r="C1" s="1619"/>
      <c r="D1" s="1620"/>
      <c r="E1" s="1620"/>
      <c r="F1" s="1857" t="s">
        <v>1236</v>
      </c>
      <c r="G1" s="1857"/>
      <c r="H1" s="1621"/>
      <c r="L1" s="1620"/>
      <c r="N1" s="1620"/>
      <c r="P1" s="1622"/>
      <c r="Q1" s="1623"/>
    </row>
    <row r="2" spans="1:18" s="1618" customFormat="1" ht="15" customHeight="1" x14ac:dyDescent="0.2">
      <c r="A2" s="1624"/>
      <c r="B2" s="1858" t="s">
        <v>1237</v>
      </c>
      <c r="C2" s="1859"/>
      <c r="D2" s="1859"/>
      <c r="E2" s="1859"/>
      <c r="F2" s="1859"/>
      <c r="G2" s="1859"/>
      <c r="H2" s="1859"/>
      <c r="I2" s="1859"/>
      <c r="J2" s="1859"/>
      <c r="K2" s="1859"/>
      <c r="L2" s="1859"/>
      <c r="M2" s="1859"/>
      <c r="N2" s="1859"/>
      <c r="O2" s="1860"/>
      <c r="P2" s="1622"/>
      <c r="Q2" s="1623"/>
    </row>
    <row r="3" spans="1:18" ht="56.25" customHeight="1" x14ac:dyDescent="0.3">
      <c r="A3" s="1861" t="s">
        <v>229</v>
      </c>
      <c r="B3" s="1861" t="s">
        <v>339</v>
      </c>
      <c r="C3" s="1863" t="s">
        <v>1238</v>
      </c>
      <c r="D3" s="1863" t="s">
        <v>1239</v>
      </c>
      <c r="E3" s="1863" t="s">
        <v>1240</v>
      </c>
      <c r="F3" s="1865" t="s">
        <v>1241</v>
      </c>
      <c r="G3" s="1853"/>
      <c r="H3" s="1853"/>
      <c r="I3" s="1853" t="s">
        <v>1242</v>
      </c>
      <c r="J3" s="1853"/>
      <c r="K3" s="1853"/>
      <c r="L3" s="1626"/>
      <c r="M3" s="1854" t="s">
        <v>1243</v>
      </c>
      <c r="N3" s="1855"/>
      <c r="O3" s="1855"/>
      <c r="P3" s="1856" t="s">
        <v>1244</v>
      </c>
    </row>
    <row r="4" spans="1:18" s="1637" customFormat="1" ht="60" customHeight="1" x14ac:dyDescent="0.3">
      <c r="A4" s="1862"/>
      <c r="B4" s="1862"/>
      <c r="C4" s="1864"/>
      <c r="D4" s="1864"/>
      <c r="E4" s="1864"/>
      <c r="F4" s="1632" t="s">
        <v>1245</v>
      </c>
      <c r="G4" s="1633" t="s">
        <v>1246</v>
      </c>
      <c r="H4" s="1633" t="s">
        <v>1247</v>
      </c>
      <c r="I4" s="1634" t="s">
        <v>1248</v>
      </c>
      <c r="J4" s="1634" t="s">
        <v>1249</v>
      </c>
      <c r="K4" s="1634" t="s">
        <v>1250</v>
      </c>
      <c r="L4" s="1627" t="s">
        <v>1251</v>
      </c>
      <c r="M4" s="1634" t="s">
        <v>1252</v>
      </c>
      <c r="N4" s="1627" t="s">
        <v>1253</v>
      </c>
      <c r="O4" s="1635" t="s">
        <v>119</v>
      </c>
      <c r="P4" s="1856"/>
      <c r="Q4" s="1636"/>
    </row>
    <row r="5" spans="1:18" s="1637" customFormat="1" ht="16.5" customHeight="1" x14ac:dyDescent="0.3">
      <c r="A5" s="1630"/>
      <c r="B5" s="1638" t="s">
        <v>1254</v>
      </c>
      <c r="C5" s="1639">
        <v>53</v>
      </c>
      <c r="D5" s="1631"/>
      <c r="E5" s="1631"/>
      <c r="F5" s="1632"/>
      <c r="G5" s="1633"/>
      <c r="H5" s="1633"/>
      <c r="I5" s="1634"/>
      <c r="J5" s="1634"/>
      <c r="K5" s="1634"/>
      <c r="L5" s="1627"/>
      <c r="M5" s="1634"/>
      <c r="N5" s="1627"/>
      <c r="O5" s="1635"/>
      <c r="P5" s="1627"/>
      <c r="Q5" s="1636"/>
    </row>
    <row r="6" spans="1:18" s="1637" customFormat="1" ht="16.5" customHeight="1" x14ac:dyDescent="0.3">
      <c r="A6" s="1630"/>
      <c r="B6" s="1638" t="s">
        <v>1255</v>
      </c>
      <c r="C6" s="1639">
        <v>42</v>
      </c>
      <c r="D6" s="1631"/>
      <c r="E6" s="1631"/>
      <c r="F6" s="1632"/>
      <c r="G6" s="1633"/>
      <c r="H6" s="1633"/>
      <c r="I6" s="1634"/>
      <c r="J6" s="1634"/>
      <c r="K6" s="1634"/>
      <c r="L6" s="1627"/>
      <c r="M6" s="1634"/>
      <c r="N6" s="1627"/>
      <c r="O6" s="1635"/>
      <c r="P6" s="1627"/>
      <c r="Q6" s="1636"/>
    </row>
    <row r="7" spans="1:18" s="1637" customFormat="1" ht="16.5" customHeight="1" x14ac:dyDescent="0.3">
      <c r="A7" s="1630"/>
      <c r="B7" s="1638" t="s">
        <v>1255</v>
      </c>
      <c r="C7" s="1639">
        <v>24.8</v>
      </c>
      <c r="D7" s="1631"/>
      <c r="E7" s="1631"/>
      <c r="F7" s="1632"/>
      <c r="G7" s="1633"/>
      <c r="H7" s="1633"/>
      <c r="I7" s="1634"/>
      <c r="J7" s="1634"/>
      <c r="K7" s="1634"/>
      <c r="L7" s="1627"/>
      <c r="M7" s="1634"/>
      <c r="N7" s="1627"/>
      <c r="O7" s="1635"/>
      <c r="P7" s="1627"/>
      <c r="Q7" s="1636"/>
    </row>
    <row r="8" spans="1:18" s="1637" customFormat="1" ht="16.5" customHeight="1" x14ac:dyDescent="0.3">
      <c r="A8" s="1630"/>
      <c r="B8" s="1638" t="s">
        <v>1256</v>
      </c>
      <c r="C8" s="1639">
        <v>57.7</v>
      </c>
      <c r="D8" s="1631"/>
      <c r="E8" s="1631"/>
      <c r="F8" s="1632"/>
      <c r="G8" s="1633"/>
      <c r="H8" s="1633"/>
      <c r="I8" s="1634"/>
      <c r="J8" s="1634"/>
      <c r="K8" s="1634"/>
      <c r="L8" s="1627"/>
      <c r="M8" s="1634"/>
      <c r="N8" s="1627"/>
      <c r="O8" s="1635"/>
      <c r="P8" s="1627"/>
      <c r="Q8" s="1636"/>
    </row>
    <row r="9" spans="1:18" s="1637" customFormat="1" ht="18" customHeight="1" x14ac:dyDescent="0.3">
      <c r="A9" s="1640" t="s">
        <v>191</v>
      </c>
      <c r="B9" s="1641" t="s">
        <v>125</v>
      </c>
      <c r="C9" s="1642"/>
      <c r="D9" s="1632"/>
      <c r="E9" s="1632"/>
      <c r="F9" s="1632"/>
      <c r="G9" s="1633"/>
      <c r="H9" s="1633"/>
      <c r="I9" s="1643"/>
      <c r="J9" s="1643"/>
      <c r="K9" s="1643"/>
      <c r="L9" s="1632"/>
      <c r="M9" s="1643"/>
      <c r="N9" s="1632"/>
      <c r="O9" s="1644"/>
      <c r="P9" s="1632"/>
      <c r="Q9" s="1636"/>
      <c r="R9" s="1645"/>
    </row>
    <row r="10" spans="1:18" s="1637" customFormat="1" ht="18" customHeight="1" x14ac:dyDescent="0.3">
      <c r="A10" s="1640"/>
      <c r="B10" s="1641" t="s">
        <v>1257</v>
      </c>
      <c r="C10" s="1642"/>
      <c r="D10" s="1632"/>
      <c r="E10" s="1632"/>
      <c r="F10" s="1632"/>
      <c r="G10" s="1633"/>
      <c r="H10" s="1633"/>
      <c r="I10" s="1643"/>
      <c r="J10" s="1643"/>
      <c r="K10" s="1643"/>
      <c r="L10" s="1632"/>
      <c r="M10" s="1643"/>
      <c r="N10" s="1632"/>
      <c r="O10" s="1644"/>
      <c r="P10" s="1632"/>
      <c r="Q10" s="1636"/>
    </row>
    <row r="11" spans="1:18" s="1637" customFormat="1" ht="18" customHeight="1" x14ac:dyDescent="0.3">
      <c r="A11" s="1640"/>
      <c r="B11" s="1641" t="s">
        <v>1258</v>
      </c>
      <c r="C11" s="1642"/>
      <c r="D11" s="1632"/>
      <c r="E11" s="1632"/>
      <c r="F11" s="1632"/>
      <c r="G11" s="1633"/>
      <c r="H11" s="1633"/>
      <c r="I11" s="1643"/>
      <c r="J11" s="1643"/>
      <c r="K11" s="1643"/>
      <c r="L11" s="1632"/>
      <c r="M11" s="1643"/>
      <c r="N11" s="1632"/>
      <c r="O11" s="1644"/>
      <c r="P11" s="1632"/>
      <c r="Q11" s="1636"/>
    </row>
    <row r="12" spans="1:18" x14ac:dyDescent="0.2">
      <c r="A12" s="1646">
        <v>1</v>
      </c>
      <c r="B12" s="1647" t="s">
        <v>1259</v>
      </c>
      <c r="C12" s="1648">
        <f>'[35]2021-22'!C11*4.3552%</f>
        <v>0</v>
      </c>
      <c r="D12" s="1648">
        <f>'[35]2021-22'!D11*42%</f>
        <v>2037.1933834663212</v>
      </c>
      <c r="E12" s="1648"/>
      <c r="F12" s="1648"/>
      <c r="G12" s="1649"/>
      <c r="H12" s="1649"/>
      <c r="I12" s="1650"/>
      <c r="J12" s="1650"/>
      <c r="K12" s="1650"/>
      <c r="L12" s="1648"/>
      <c r="M12" s="1650"/>
      <c r="N12" s="1648"/>
      <c r="O12" s="1651"/>
      <c r="P12" s="1648"/>
    </row>
    <row r="13" spans="1:18" x14ac:dyDescent="0.2">
      <c r="A13" s="1646">
        <v>2</v>
      </c>
      <c r="B13" s="1647" t="s">
        <v>1260</v>
      </c>
      <c r="C13" s="1648"/>
      <c r="D13" s="1648"/>
      <c r="E13" s="1648"/>
      <c r="F13" s="1648"/>
      <c r="G13" s="1649"/>
      <c r="H13" s="1649"/>
      <c r="I13" s="1650"/>
      <c r="J13" s="1650"/>
      <c r="K13" s="1650"/>
      <c r="L13" s="1648"/>
      <c r="M13" s="1650"/>
      <c r="N13" s="1648"/>
      <c r="O13" s="1651"/>
      <c r="P13" s="1648"/>
    </row>
    <row r="14" spans="1:18" x14ac:dyDescent="0.2">
      <c r="A14" s="1646">
        <v>3</v>
      </c>
      <c r="B14" s="1647" t="s">
        <v>1261</v>
      </c>
      <c r="C14" s="1648"/>
      <c r="D14" s="1648"/>
      <c r="E14" s="1648"/>
      <c r="F14" s="1648"/>
      <c r="G14" s="1649"/>
      <c r="H14" s="1649"/>
      <c r="I14" s="1650"/>
      <c r="J14" s="1650"/>
      <c r="K14" s="1650"/>
      <c r="L14" s="1648"/>
      <c r="M14" s="1650"/>
      <c r="N14" s="1648"/>
      <c r="O14" s="1651"/>
      <c r="P14" s="1648"/>
    </row>
    <row r="15" spans="1:18" s="1657" customFormat="1" x14ac:dyDescent="0.2">
      <c r="A15" s="1652"/>
      <c r="B15" s="1653" t="s">
        <v>119</v>
      </c>
      <c r="C15" s="1648">
        <f>'[35]2021-22'!C14*42%</f>
        <v>1569.9389999999999</v>
      </c>
      <c r="D15" s="1648">
        <f>'[35]2021-22'!D14*42%</f>
        <v>2037.1933834663212</v>
      </c>
      <c r="E15" s="1654"/>
      <c r="F15" s="1648">
        <f>'[35]2021-22'!F14</f>
        <v>73.508206369801627</v>
      </c>
      <c r="G15" s="1648">
        <f>'[35]2021-22'!G14</f>
        <v>20</v>
      </c>
      <c r="H15" s="1648">
        <f>'[35]2021-22'!H14</f>
        <v>73.508206369801627</v>
      </c>
      <c r="I15" s="1648">
        <f>'[35]2021-22'!I14*42%</f>
        <v>1.1924505599999999</v>
      </c>
      <c r="J15" s="1650"/>
      <c r="K15" s="1648">
        <f>'[35]2021-22'!K14*42%</f>
        <v>1.1544769015879346</v>
      </c>
      <c r="L15" s="1648">
        <f>((C15*F15)+(D15*G15))/1000</f>
        <v>156.1472676693264</v>
      </c>
      <c r="M15" s="1648">
        <f>E15</f>
        <v>0</v>
      </c>
      <c r="N15" s="1648">
        <f>I15+J15+K15+L15</f>
        <v>158.49419513091433</v>
      </c>
      <c r="O15" s="1651">
        <f>M15+N15</f>
        <v>158.49419513091433</v>
      </c>
      <c r="P15" s="1648">
        <f>O15/D15*1000</f>
        <v>77.800269928833956</v>
      </c>
      <c r="Q15" s="1655"/>
      <c r="R15" s="1656"/>
    </row>
    <row r="16" spans="1:18" x14ac:dyDescent="0.2">
      <c r="A16" s="1646"/>
      <c r="B16" s="1647" t="s">
        <v>1262</v>
      </c>
      <c r="C16" s="1648"/>
      <c r="D16" s="1648"/>
      <c r="E16" s="1648"/>
      <c r="F16" s="1648"/>
      <c r="G16" s="1648"/>
      <c r="H16" s="1648"/>
      <c r="I16" s="1648"/>
      <c r="J16" s="1650"/>
      <c r="K16" s="1650"/>
      <c r="L16" s="1648"/>
      <c r="M16" s="1648"/>
      <c r="N16" s="1648"/>
      <c r="O16" s="1651"/>
      <c r="P16" s="1648"/>
    </row>
    <row r="17" spans="1:17" x14ac:dyDescent="0.2">
      <c r="A17" s="1646">
        <v>4</v>
      </c>
      <c r="B17" s="1647" t="s">
        <v>126</v>
      </c>
      <c r="C17" s="1648">
        <f>'[35]2021-22'!C16*8.5%</f>
        <v>0</v>
      </c>
      <c r="D17" s="1648">
        <f>'[35]2021-22'!D16*43%</f>
        <v>1377.4969968351556</v>
      </c>
      <c r="E17" s="1648"/>
      <c r="F17" s="1648"/>
      <c r="G17" s="1648"/>
      <c r="H17" s="1648"/>
      <c r="I17" s="1648"/>
      <c r="J17" s="1650"/>
      <c r="K17" s="1650"/>
      <c r="L17" s="1648"/>
      <c r="M17" s="1648"/>
      <c r="N17" s="1648"/>
      <c r="O17" s="1651"/>
      <c r="P17" s="1648"/>
    </row>
    <row r="18" spans="1:17" x14ac:dyDescent="0.2">
      <c r="A18" s="1646">
        <v>5</v>
      </c>
      <c r="B18" s="1647" t="s">
        <v>1263</v>
      </c>
      <c r="C18" s="1648"/>
      <c r="D18" s="1648"/>
      <c r="E18" s="1648"/>
      <c r="F18" s="1648"/>
      <c r="G18" s="1648"/>
      <c r="H18" s="1648"/>
      <c r="I18" s="1648"/>
      <c r="J18" s="1650"/>
      <c r="K18" s="1650"/>
      <c r="L18" s="1648"/>
      <c r="M18" s="1648"/>
      <c r="N18" s="1648"/>
      <c r="O18" s="1651"/>
      <c r="P18" s="1648"/>
    </row>
    <row r="19" spans="1:17" s="1657" customFormat="1" x14ac:dyDescent="0.2">
      <c r="A19" s="1652"/>
      <c r="B19" s="1653" t="s">
        <v>119</v>
      </c>
      <c r="C19" s="1648">
        <f>'[35]2021-22'!C18*43%</f>
        <v>885.27109999999993</v>
      </c>
      <c r="D19" s="1648">
        <f>'[35]2021-22'!D18*43%</f>
        <v>1377.4969968351556</v>
      </c>
      <c r="E19" s="1654"/>
      <c r="F19" s="1648">
        <f>'[35]2021-22'!F18</f>
        <v>160.88246865847086</v>
      </c>
      <c r="G19" s="1648">
        <f>'[35]2021-22'!G18</f>
        <v>20</v>
      </c>
      <c r="H19" s="1648">
        <f>'[35]2021-22'!H18</f>
        <v>180.88246865847086</v>
      </c>
      <c r="I19" s="1648">
        <f>'[35]2021-22'!I18*43%</f>
        <v>1.3858590399999997</v>
      </c>
      <c r="J19" s="1650"/>
      <c r="K19" s="1648">
        <f>'[35]2021-22'!K18*43%</f>
        <v>1.341704207495469</v>
      </c>
      <c r="L19" s="1648">
        <f>((C19*F19)+(D19*G19))/1000</f>
        <v>169.97453993670311</v>
      </c>
      <c r="M19" s="1648">
        <f>E19</f>
        <v>0</v>
      </c>
      <c r="N19" s="1648">
        <f>I19+J19+K19+L19</f>
        <v>172.70210318419859</v>
      </c>
      <c r="O19" s="1651">
        <f>M19+N19</f>
        <v>172.70210318419859</v>
      </c>
      <c r="P19" s="1648">
        <f t="shared" ref="P19:P31" si="0">O19/D19*1000</f>
        <v>125.37385096373154</v>
      </c>
      <c r="Q19" s="1655"/>
    </row>
    <row r="20" spans="1:17" x14ac:dyDescent="0.2">
      <c r="A20" s="1646"/>
      <c r="B20" s="1647" t="s">
        <v>1264</v>
      </c>
      <c r="C20" s="1648"/>
      <c r="D20" s="1648"/>
      <c r="E20" s="1648"/>
      <c r="F20" s="1648"/>
      <c r="G20" s="1648"/>
      <c r="H20" s="1648"/>
      <c r="I20" s="1648"/>
      <c r="J20" s="1650"/>
      <c r="K20" s="1650"/>
      <c r="L20" s="1648"/>
      <c r="M20" s="1648"/>
      <c r="N20" s="1648"/>
      <c r="O20" s="1651"/>
      <c r="P20" s="1648"/>
    </row>
    <row r="21" spans="1:17" x14ac:dyDescent="0.2">
      <c r="A21" s="1646">
        <v>6</v>
      </c>
      <c r="B21" s="1647" t="s">
        <v>1265</v>
      </c>
      <c r="C21" s="1648">
        <f>'[35]2021-22'!C20*$C$7%</f>
        <v>0</v>
      </c>
      <c r="D21" s="1648">
        <f>'[35]2021-22'!D20*$C$7%</f>
        <v>260.71707126684737</v>
      </c>
      <c r="E21" s="1648"/>
      <c r="F21" s="1658"/>
      <c r="G21" s="1648"/>
      <c r="H21" s="1648"/>
      <c r="I21" s="1648"/>
      <c r="J21" s="1650"/>
      <c r="K21" s="1650"/>
      <c r="L21" s="1648"/>
      <c r="M21" s="1648"/>
      <c r="N21" s="1648"/>
      <c r="O21" s="1651"/>
      <c r="P21" s="1648"/>
    </row>
    <row r="22" spans="1:17" x14ac:dyDescent="0.2">
      <c r="A22" s="1646">
        <v>7</v>
      </c>
      <c r="B22" s="1647" t="s">
        <v>1266</v>
      </c>
      <c r="C22" s="1648"/>
      <c r="D22" s="1648"/>
      <c r="E22" s="1648"/>
      <c r="F22" s="1648"/>
      <c r="G22" s="1648"/>
      <c r="H22" s="1648"/>
      <c r="I22" s="1648"/>
      <c r="J22" s="1650"/>
      <c r="K22" s="1650"/>
      <c r="L22" s="1648"/>
      <c r="M22" s="1648"/>
      <c r="N22" s="1648"/>
      <c r="O22" s="1651"/>
      <c r="P22" s="1648"/>
    </row>
    <row r="23" spans="1:17" s="1618" customFormat="1" x14ac:dyDescent="0.2">
      <c r="A23" s="1624"/>
      <c r="B23" s="1659" t="s">
        <v>119</v>
      </c>
      <c r="C23" s="1648">
        <f>'[35]2021-22'!C22*$C$7%</f>
        <v>210.47512</v>
      </c>
      <c r="D23" s="1648">
        <f>'[35]2021-22'!D22*$C$7%</f>
        <v>260.71707126684737</v>
      </c>
      <c r="E23" s="1660"/>
      <c r="F23" s="1648">
        <f>'[35]2021-22'!F22</f>
        <v>195.93726802483826</v>
      </c>
      <c r="G23" s="1648">
        <f>'[35]2021-22'!G22</f>
        <v>20</v>
      </c>
      <c r="H23" s="1648">
        <f>'[35]2021-22'!H22</f>
        <v>215.93726802483826</v>
      </c>
      <c r="I23" s="1648">
        <f>'[35]2021-22'!I22*$C$7%</f>
        <v>0.55899596799999984</v>
      </c>
      <c r="J23" s="1650"/>
      <c r="K23" s="1648">
        <f>'[35]2021-22'!K22*$C$7%</f>
        <v>0.54122887980028245</v>
      </c>
      <c r="L23" s="1648">
        <f>((C23*F23)+(D23*G23))/1000</f>
        <v>46.454261425336945</v>
      </c>
      <c r="M23" s="1648">
        <f>E23</f>
        <v>0</v>
      </c>
      <c r="N23" s="1648">
        <f>I23+J23+K23+L23</f>
        <v>47.554486273137229</v>
      </c>
      <c r="O23" s="1651">
        <f>M23+N23</f>
        <v>47.554486273137229</v>
      </c>
      <c r="P23" s="1648">
        <f>O23/D23*1000</f>
        <v>182.39882046106825</v>
      </c>
      <c r="Q23" s="1623"/>
    </row>
    <row r="24" spans="1:17" x14ac:dyDescent="0.2">
      <c r="A24" s="1646">
        <v>8</v>
      </c>
      <c r="B24" s="1647" t="s">
        <v>1267</v>
      </c>
      <c r="C24" s="1648">
        <f>'[35]2021-22'!C23*$C$7%</f>
        <v>210.47512</v>
      </c>
      <c r="D24" s="1648">
        <f>'[35]2021-22'!D23*$C$7%</f>
        <v>210.47512</v>
      </c>
      <c r="E24" s="1648"/>
      <c r="F24" s="1648">
        <f>'[35]2021-22'!F23</f>
        <v>36.680059856956014</v>
      </c>
      <c r="G24" s="1648"/>
      <c r="H24" s="1648"/>
      <c r="I24" s="1648"/>
      <c r="J24" s="1650"/>
      <c r="K24" s="1648"/>
      <c r="L24" s="1648"/>
      <c r="M24" s="1648"/>
      <c r="N24" s="1661">
        <f>D24*F24/1000</f>
        <v>7.7202399999999995</v>
      </c>
      <c r="O24" s="1625">
        <f>M24+N24</f>
        <v>7.7202399999999995</v>
      </c>
      <c r="P24" s="1648">
        <f>O24/D24*1000</f>
        <v>36.680059856956014</v>
      </c>
    </row>
    <row r="25" spans="1:17" x14ac:dyDescent="0.2">
      <c r="A25" s="1646">
        <v>9</v>
      </c>
      <c r="B25" s="1647" t="s">
        <v>1268</v>
      </c>
      <c r="C25" s="1648">
        <f>'[35]2021-22'!C24*$C$7%</f>
        <v>12.521520000000001</v>
      </c>
      <c r="D25" s="1648">
        <f>'[35]2021-22'!D24*$C$7%</f>
        <v>12.268440364799998</v>
      </c>
      <c r="E25" s="1648"/>
      <c r="F25" s="1648">
        <f>'[35]2021-22'!F24</f>
        <v>540.89918795801145</v>
      </c>
      <c r="G25" s="1648">
        <f>'[35]2021-22'!G24</f>
        <v>20</v>
      </c>
      <c r="H25" s="1648">
        <f>'[35]2021-22'!H24</f>
        <v>560.89918795801145</v>
      </c>
      <c r="I25" s="1648">
        <f>'[35]2021-22'!I24*$C$7%</f>
        <v>4.0183935999999996E-2</v>
      </c>
      <c r="J25" s="1650"/>
      <c r="K25" s="1648">
        <f>'[35]2021-22'!K24*$C$7%</f>
        <v>3.8910856498530232E-2</v>
      </c>
      <c r="L25" s="1648">
        <f>((C25*F25)+(D25*G25))/1000</f>
        <v>7.0182488072960005</v>
      </c>
      <c r="M25" s="1648">
        <f>E25</f>
        <v>0</v>
      </c>
      <c r="N25" s="1648">
        <f>I25+J25+K25+L25</f>
        <v>7.0973435997945309</v>
      </c>
      <c r="O25" s="1651">
        <f>M25+N25</f>
        <v>7.0973435997945309</v>
      </c>
      <c r="P25" s="1648">
        <f t="shared" si="0"/>
        <v>578.50414467986309</v>
      </c>
    </row>
    <row r="26" spans="1:17" x14ac:dyDescent="0.2">
      <c r="A26" s="1646">
        <v>10</v>
      </c>
      <c r="B26" s="1647" t="s">
        <v>127</v>
      </c>
      <c r="C26" s="1648">
        <f>'[35]2021-22'!C25*$C$7%</f>
        <v>21.072559999999999</v>
      </c>
      <c r="D26" s="1648">
        <f>'[35]2021-22'!D25*$C$7%</f>
        <v>15.785488116480002</v>
      </c>
      <c r="E26" s="1648"/>
      <c r="F26" s="1648">
        <f>'[35]2021-22'!F25</f>
        <v>152.75979757561493</v>
      </c>
      <c r="G26" s="1648">
        <f>'[35]2021-22'!G25</f>
        <v>20</v>
      </c>
      <c r="H26" s="1648">
        <f>'[35]2021-22'!H25</f>
        <v>172.75979757561493</v>
      </c>
      <c r="I26" s="1648">
        <f>'[35]2021-22'!I25*$C$7%</f>
        <v>0</v>
      </c>
      <c r="J26" s="1650"/>
      <c r="K26" s="1648">
        <f>'[35]2021-22'!K25*$C$7%</f>
        <v>7.4157875086739516E-2</v>
      </c>
      <c r="L26" s="1648">
        <f>((C26*F26)+(D26*G26))/1000</f>
        <v>3.5347497623296</v>
      </c>
      <c r="M26" s="1648">
        <f t="shared" ref="M26:M34" si="1">E26</f>
        <v>0</v>
      </c>
      <c r="N26" s="1648">
        <f t="shared" ref="N26:N34" si="2">I26+J26+K26+L26</f>
        <v>3.6089076374163396</v>
      </c>
      <c r="O26" s="1651">
        <f t="shared" ref="O26:O35" si="3">M26+N26</f>
        <v>3.6089076374163396</v>
      </c>
      <c r="P26" s="1648">
        <f t="shared" si="0"/>
        <v>228.6218589369214</v>
      </c>
    </row>
    <row r="27" spans="1:17" x14ac:dyDescent="0.2">
      <c r="A27" s="1646">
        <v>11</v>
      </c>
      <c r="B27" s="1647" t="s">
        <v>128</v>
      </c>
      <c r="C27" s="1648">
        <f>'[35]2021-22'!C26*$C$7%</f>
        <v>0</v>
      </c>
      <c r="D27" s="1648">
        <f>'[35]2021-22'!D26*$C$7%</f>
        <v>0</v>
      </c>
      <c r="E27" s="1648"/>
      <c r="F27" s="1648">
        <f>'[35]2021-22'!F26</f>
        <v>116</v>
      </c>
      <c r="G27" s="1648">
        <f>'[35]2021-22'!G26</f>
        <v>0</v>
      </c>
      <c r="H27" s="1648">
        <f>'[35]2021-22'!H26</f>
        <v>116</v>
      </c>
      <c r="I27" s="1648">
        <f>'[35]2021-22'!I26*$C$7%</f>
        <v>0</v>
      </c>
      <c r="J27" s="1650"/>
      <c r="K27" s="1648">
        <f>'[35]2021-22'!K26*$C$7%</f>
        <v>0</v>
      </c>
      <c r="L27" s="1648">
        <f>H27*D27/1000</f>
        <v>0</v>
      </c>
      <c r="M27" s="1648">
        <f t="shared" si="1"/>
        <v>0</v>
      </c>
      <c r="N27" s="1648">
        <f t="shared" si="2"/>
        <v>0</v>
      </c>
      <c r="O27" s="1651">
        <f t="shared" si="3"/>
        <v>0</v>
      </c>
      <c r="P27" s="1648"/>
    </row>
    <row r="28" spans="1:17" x14ac:dyDescent="0.2">
      <c r="A28" s="1646">
        <v>12</v>
      </c>
      <c r="B28" s="1647" t="s">
        <v>129</v>
      </c>
      <c r="C28" s="1648">
        <f>'[35]2021-22'!C27*$C$7%</f>
        <v>104.1352</v>
      </c>
      <c r="D28" s="1648">
        <f>'[35]2021-22'!D27*$C$7%</f>
        <v>80.698713284540048</v>
      </c>
      <c r="E28" s="1648"/>
      <c r="F28" s="1648">
        <f>'[35]2021-22'!F27</f>
        <v>178.20909740414385</v>
      </c>
      <c r="G28" s="1648">
        <f>'[35]2021-22'!G27</f>
        <v>20</v>
      </c>
      <c r="H28" s="1648">
        <f>'[35]2021-22'!H27</f>
        <v>198.20909740414385</v>
      </c>
      <c r="I28" s="1648">
        <f>'[35]2021-22'!I27*$C$7%</f>
        <v>0</v>
      </c>
      <c r="J28" s="1650"/>
      <c r="K28" s="1648">
        <f>'[35]2021-22'!K27*$C$7%</f>
        <v>0.69625309488840414</v>
      </c>
      <c r="L28" s="1648">
        <f>((C28*F28)+(D28*G28))/1000</f>
        <v>20.171814265690802</v>
      </c>
      <c r="M28" s="1648">
        <f t="shared" si="1"/>
        <v>0</v>
      </c>
      <c r="N28" s="1648">
        <f t="shared" si="2"/>
        <v>20.868067360579207</v>
      </c>
      <c r="O28" s="1651">
        <f t="shared" si="3"/>
        <v>20.868067360579207</v>
      </c>
      <c r="P28" s="1648">
        <f t="shared" si="0"/>
        <v>258.59231840536711</v>
      </c>
    </row>
    <row r="29" spans="1:17" x14ac:dyDescent="0.2">
      <c r="A29" s="1646">
        <v>13</v>
      </c>
      <c r="B29" s="1647" t="s">
        <v>130</v>
      </c>
      <c r="C29" s="1648">
        <f>'[35]2021-22'!C28*$C$7%</f>
        <v>92.375039999999998</v>
      </c>
      <c r="D29" s="1648">
        <f>'[35]2021-22'!D28*$C$7%</f>
        <v>78.151596166451569</v>
      </c>
      <c r="E29" s="1648"/>
      <c r="F29" s="1648">
        <f>'[35]2021-22'!F28</f>
        <v>135.7119845360825</v>
      </c>
      <c r="G29" s="1648">
        <f>'[35]2021-22'!G28</f>
        <v>20</v>
      </c>
      <c r="H29" s="1648">
        <f>'[35]2021-22'!H28</f>
        <v>155.7119845360825</v>
      </c>
      <c r="I29" s="1648">
        <f>'[35]2021-22'!I28*$C$7%</f>
        <v>0</v>
      </c>
      <c r="J29" s="1650"/>
      <c r="K29" s="1648">
        <f>'[35]2021-22'!K28*$C$7%</f>
        <v>0.47614871415982724</v>
      </c>
      <c r="L29" s="1648">
        <f t="shared" ref="L29:L34" si="4">((C29*F29)+(D29*G29))/1000</f>
        <v>14.099431923329034</v>
      </c>
      <c r="M29" s="1648">
        <f t="shared" si="1"/>
        <v>0</v>
      </c>
      <c r="N29" s="1648">
        <f t="shared" si="2"/>
        <v>14.57558063748886</v>
      </c>
      <c r="O29" s="1651">
        <f t="shared" si="3"/>
        <v>14.57558063748886</v>
      </c>
      <c r="P29" s="1648">
        <f t="shared" si="0"/>
        <v>186.50394044985322</v>
      </c>
    </row>
    <row r="30" spans="1:17" x14ac:dyDescent="0.2">
      <c r="A30" s="1646">
        <v>14</v>
      </c>
      <c r="B30" s="1647" t="s">
        <v>131</v>
      </c>
      <c r="C30" s="1648">
        <f>'[35]2021-22'!C29*$C$7%</f>
        <v>109.76976000000001</v>
      </c>
      <c r="D30" s="1648">
        <f>'[35]2021-22'!D29*$C$7%</f>
        <v>119.94366456740599</v>
      </c>
      <c r="E30" s="1648"/>
      <c r="F30" s="1648">
        <f>'[35]2021-22'!F29</f>
        <v>203.01839049297365</v>
      </c>
      <c r="G30" s="1648">
        <f>'[35]2021-22'!G29</f>
        <v>20</v>
      </c>
      <c r="H30" s="1648">
        <f>'[35]2021-22'!H29</f>
        <v>223.01839049297365</v>
      </c>
      <c r="I30" s="1648">
        <f>'[35]2021-22'!I29*$C$7%</f>
        <v>0.15260856851108992</v>
      </c>
      <c r="J30" s="1650"/>
      <c r="K30" s="1648">
        <f>'[35]2021-22'!K29*$C$7%</f>
        <v>0.83536487521871916</v>
      </c>
      <c r="L30" s="1648">
        <f t="shared" si="4"/>
        <v>24.684153291348121</v>
      </c>
      <c r="M30" s="1648">
        <f t="shared" si="1"/>
        <v>0</v>
      </c>
      <c r="N30" s="1648">
        <f t="shared" si="2"/>
        <v>25.672126735077931</v>
      </c>
      <c r="O30" s="1651">
        <f t="shared" si="3"/>
        <v>25.672126735077931</v>
      </c>
      <c r="P30" s="1648">
        <f t="shared" si="0"/>
        <v>214.03487068423445</v>
      </c>
    </row>
    <row r="31" spans="1:17" x14ac:dyDescent="0.2">
      <c r="A31" s="1646">
        <v>15</v>
      </c>
      <c r="B31" s="1647" t="s">
        <v>132</v>
      </c>
      <c r="C31" s="1648">
        <f>'[35]2021-22'!C30*$C$7%</f>
        <v>95.231999999999999</v>
      </c>
      <c r="D31" s="1648">
        <f>'[35]2021-22'!D30*$C$7%</f>
        <v>109.548656716992</v>
      </c>
      <c r="E31" s="1648"/>
      <c r="F31" s="1648">
        <f>'[35]2021-22'!F30</f>
        <v>218.09895833333334</v>
      </c>
      <c r="G31" s="1648">
        <f>'[35]2021-22'!G30</f>
        <v>100</v>
      </c>
      <c r="H31" s="1648">
        <f>'[35]2021-22'!H30</f>
        <v>318.09895833333337</v>
      </c>
      <c r="I31" s="1648">
        <f>'[35]2021-22'!I30*$C$7%</f>
        <v>0.50108298509472005</v>
      </c>
      <c r="J31" s="1650"/>
      <c r="K31" s="1648">
        <f>'[35]2021-22'!K30*$C$7%</f>
        <v>0.83804898518805748</v>
      </c>
      <c r="L31" s="1648">
        <f t="shared" si="4"/>
        <v>31.724865671699199</v>
      </c>
      <c r="M31" s="1648">
        <f t="shared" si="1"/>
        <v>0</v>
      </c>
      <c r="N31" s="1648">
        <f t="shared" si="2"/>
        <v>33.063997641981977</v>
      </c>
      <c r="O31" s="1651">
        <f t="shared" si="3"/>
        <v>33.063997641981977</v>
      </c>
      <c r="P31" s="1648">
        <f t="shared" si="0"/>
        <v>301.8202014781387</v>
      </c>
    </row>
    <row r="32" spans="1:17" x14ac:dyDescent="0.2">
      <c r="A32" s="1646">
        <v>16</v>
      </c>
      <c r="B32" s="1662" t="s">
        <v>1269</v>
      </c>
      <c r="C32" s="1648">
        <f>'[35]2021-22'!C31*$C$7%</f>
        <v>62.496000000000002</v>
      </c>
      <c r="D32" s="1648">
        <f>'[35]2021-22'!D31*$C$7%</f>
        <v>69.012774219993602</v>
      </c>
      <c r="E32" s="1648"/>
      <c r="F32" s="1648">
        <f>'[35]2021-22'!F31</f>
        <v>149.80158730158729</v>
      </c>
      <c r="G32" s="1648">
        <f>'[35]2021-22'!G31</f>
        <v>20</v>
      </c>
      <c r="H32" s="1648">
        <f>'[35]2021-22'!H31</f>
        <v>169.80158730158729</v>
      </c>
      <c r="I32" s="1648">
        <f>'[35]2021-22'!I31*$C$7%</f>
        <v>0.22337062399999999</v>
      </c>
      <c r="J32" s="1650"/>
      <c r="K32" s="1648">
        <f>'[35]2021-22'!K31*$C$7%</f>
        <v>0.38298744390126077</v>
      </c>
      <c r="L32" s="1648">
        <f t="shared" si="4"/>
        <v>10.742255484399871</v>
      </c>
      <c r="M32" s="1648">
        <f t="shared" si="1"/>
        <v>0</v>
      </c>
      <c r="N32" s="1648">
        <f t="shared" si="2"/>
        <v>11.348613552301131</v>
      </c>
      <c r="O32" s="1651">
        <f t="shared" si="3"/>
        <v>11.348613552301131</v>
      </c>
      <c r="P32" s="1648">
        <f>O32/D32*1000</f>
        <v>164.44221639496618</v>
      </c>
    </row>
    <row r="33" spans="1:17" x14ac:dyDescent="0.2">
      <c r="A33" s="1646">
        <v>18</v>
      </c>
      <c r="B33" s="1662" t="s">
        <v>251</v>
      </c>
      <c r="C33" s="1648">
        <f>'[35]2021-22'!C32*$C$7%</f>
        <v>16.12</v>
      </c>
      <c r="D33" s="1648">
        <f>'[35]2021-22'!D32*$C$7%</f>
        <v>20.043564366681597</v>
      </c>
      <c r="E33" s="1648"/>
      <c r="F33" s="1648">
        <f>'[35]2021-22'!F32</f>
        <v>142.92307692307691</v>
      </c>
      <c r="G33" s="1648">
        <f>'[35]2021-22'!G32</f>
        <v>20</v>
      </c>
      <c r="H33" s="1648">
        <f>'[35]2021-22'!H32</f>
        <v>162.92307692307691</v>
      </c>
      <c r="I33" s="1648">
        <f>'[35]2021-22'!I32*$C$7%</f>
        <v>2.6518143999999993E-2</v>
      </c>
      <c r="J33" s="1650"/>
      <c r="K33" s="1648">
        <f>'[35]2021-22'!K32*$C$7%</f>
        <v>4.3334777767066582E-2</v>
      </c>
      <c r="L33" s="1648">
        <f t="shared" si="4"/>
        <v>2.7047912873336317</v>
      </c>
      <c r="M33" s="1648">
        <f t="shared" si="1"/>
        <v>0</v>
      </c>
      <c r="N33" s="1648">
        <f t="shared" si="2"/>
        <v>2.7746442091006984</v>
      </c>
      <c r="O33" s="1651">
        <f t="shared" si="3"/>
        <v>2.7746442091006984</v>
      </c>
      <c r="P33" s="1648">
        <f>O33/D33*1000</f>
        <v>138.43067821375064</v>
      </c>
    </row>
    <row r="34" spans="1:17" x14ac:dyDescent="0.2">
      <c r="A34" s="1646">
        <v>19</v>
      </c>
      <c r="B34" s="1662" t="s">
        <v>252</v>
      </c>
      <c r="C34" s="1648">
        <f>'[35]2021-22'!C33*$C$7%</f>
        <v>29.512</v>
      </c>
      <c r="D34" s="1648">
        <f>'[35]2021-22'!D33*$C$7%</f>
        <v>62.899880042879992</v>
      </c>
      <c r="E34" s="1648"/>
      <c r="F34" s="1648">
        <f>'[35]2021-22'!F33</f>
        <v>162.68907563025209</v>
      </c>
      <c r="G34" s="1648">
        <f>'[35]2021-22'!G33</f>
        <v>20</v>
      </c>
      <c r="H34" s="1648">
        <f>'[35]2021-22'!H33</f>
        <v>182.68907563025209</v>
      </c>
      <c r="I34" s="1648">
        <f>'[35]2021-22'!I33*$C$7%</f>
        <v>0.14194527999999998</v>
      </c>
      <c r="J34" s="1650"/>
      <c r="K34" s="1648">
        <f>'[35]2021-22'!K33*$C$7%</f>
        <v>0.2193129402497298</v>
      </c>
      <c r="L34" s="1648">
        <f t="shared" si="4"/>
        <v>6.059277600857599</v>
      </c>
      <c r="M34" s="1648">
        <f t="shared" si="1"/>
        <v>0</v>
      </c>
      <c r="N34" s="1648">
        <f t="shared" si="2"/>
        <v>6.4205358211073289</v>
      </c>
      <c r="O34" s="1651">
        <f t="shared" si="3"/>
        <v>6.4205358211073289</v>
      </c>
      <c r="P34" s="1648">
        <f>O34/D34*1000</f>
        <v>102.07548594258579</v>
      </c>
    </row>
    <row r="35" spans="1:17" s="1657" customFormat="1" ht="14.25" x14ac:dyDescent="0.2">
      <c r="A35" s="1652"/>
      <c r="B35" s="1653" t="s">
        <v>1270</v>
      </c>
      <c r="C35" s="1663">
        <f>C15+C19+C23+C25+C26+C27+C28+C29+C30+C31+C32+C33+C34</f>
        <v>3208.9193</v>
      </c>
      <c r="D35" s="1663">
        <f>D15+D19+D23+D25+D26+D27+D28+D29+D30+D31+D32+D33+D34</f>
        <v>4243.760229414549</v>
      </c>
      <c r="E35" s="1654"/>
      <c r="F35" s="1654"/>
      <c r="G35" s="1664"/>
      <c r="H35" s="1664"/>
      <c r="I35" s="1665"/>
      <c r="J35" s="1665"/>
      <c r="K35" s="1665"/>
      <c r="L35" s="1654">
        <f>SUM(L12:L34)</f>
        <v>493.31565712565038</v>
      </c>
      <c r="M35" s="1654">
        <f>SUM(M12:M34)</f>
        <v>0</v>
      </c>
      <c r="N35" s="1654">
        <f>SUM(N12:N34)</f>
        <v>511.9008417830982</v>
      </c>
      <c r="O35" s="1666">
        <f t="shared" si="3"/>
        <v>511.9008417830982</v>
      </c>
      <c r="P35" s="1654">
        <f>O35/D35*1000</f>
        <v>120.62435531465401</v>
      </c>
      <c r="Q35" s="1655"/>
    </row>
    <row r="36" spans="1:17" x14ac:dyDescent="0.2">
      <c r="A36" s="1646" t="s">
        <v>532</v>
      </c>
      <c r="B36" s="1647" t="s">
        <v>133</v>
      </c>
      <c r="C36" s="1648"/>
      <c r="D36" s="1648"/>
      <c r="E36" s="1648"/>
      <c r="F36" s="1648"/>
      <c r="G36" s="1649"/>
      <c r="H36" s="1649"/>
      <c r="I36" s="1650"/>
      <c r="J36" s="1650"/>
      <c r="K36" s="1650"/>
      <c r="L36" s="1648"/>
      <c r="M36" s="1648"/>
      <c r="N36" s="1648"/>
      <c r="O36" s="1651"/>
      <c r="P36" s="1648"/>
    </row>
    <row r="37" spans="1:17" x14ac:dyDescent="0.2">
      <c r="A37" s="1646">
        <v>1</v>
      </c>
      <c r="B37" s="1647" t="s">
        <v>1271</v>
      </c>
      <c r="C37" s="1648"/>
      <c r="D37" s="1648">
        <f>'[35]2021-22'!D36*50.732%</f>
        <v>1725.5344474368001</v>
      </c>
      <c r="E37" s="1648">
        <f>'[35]2021-22'!E36*50.732%</f>
        <v>477.89144169687358</v>
      </c>
      <c r="F37" s="1648">
        <f>'[35]2021-22'!F36</f>
        <v>300</v>
      </c>
      <c r="G37" s="1649"/>
      <c r="H37" s="1649">
        <f t="shared" ref="H37:H88" si="5">F37+G37</f>
        <v>300</v>
      </c>
      <c r="I37" s="1648">
        <f>'[35]2021-22'!I36*54.314%</f>
        <v>0</v>
      </c>
      <c r="J37" s="1648">
        <f>'[35]2021-22'!J36*'D1FY-22'!$C$8%</f>
        <v>0</v>
      </c>
      <c r="K37" s="1648">
        <f>'[35]2021-22'!K36*50.732%</f>
        <v>12.565490603427687</v>
      </c>
      <c r="L37" s="1648">
        <f>H37*D37/1000</f>
        <v>517.66033423104</v>
      </c>
      <c r="M37" s="1648">
        <f t="shared" ref="M37:M42" si="6">E37</f>
        <v>477.89144169687358</v>
      </c>
      <c r="N37" s="1648">
        <f t="shared" ref="N37:N42" si="7">I37+J37+K37+L37</f>
        <v>530.22582483446763</v>
      </c>
      <c r="O37" s="1651">
        <f t="shared" ref="O37:O42" si="8">M37+N37</f>
        <v>1008.1172665313412</v>
      </c>
      <c r="P37" s="1648">
        <f>O37/D37*1000</f>
        <v>584.2347963721337</v>
      </c>
    </row>
    <row r="38" spans="1:17" x14ac:dyDescent="0.2">
      <c r="A38" s="1646">
        <v>2</v>
      </c>
      <c r="B38" s="1647" t="s">
        <v>1272</v>
      </c>
      <c r="C38" s="1648"/>
      <c r="D38" s="1648">
        <f>'[35]2021-22'!D37*'D1FY-22'!$C$8%</f>
        <v>365.08117100000004</v>
      </c>
      <c r="E38" s="1648">
        <f>'[35]2021-22'!E37*'D1FY-22'!$C$8%</f>
        <v>143.271693140368</v>
      </c>
      <c r="F38" s="1648">
        <f>'[35]2021-22'!F37</f>
        <v>280</v>
      </c>
      <c r="G38" s="1649"/>
      <c r="H38" s="1649">
        <f t="shared" si="5"/>
        <v>280</v>
      </c>
      <c r="I38" s="1650"/>
      <c r="J38" s="1650"/>
      <c r="K38" s="1648">
        <f>'[35]2021-22'!K37*'D1FY-22'!$C$8%</f>
        <v>3.5947100000000005</v>
      </c>
      <c r="L38" s="1648">
        <f>H38*D38/1000</f>
        <v>102.22272788000001</v>
      </c>
      <c r="M38" s="1648">
        <f t="shared" si="6"/>
        <v>143.271693140368</v>
      </c>
      <c r="N38" s="1648">
        <f t="shared" si="7"/>
        <v>105.81743788000001</v>
      </c>
      <c r="O38" s="1651">
        <f t="shared" si="8"/>
        <v>249.08913102036803</v>
      </c>
      <c r="P38" s="1648">
        <f t="shared" ref="P38:P46" si="9">O38/D38*1000</f>
        <v>682.28424472860036</v>
      </c>
    </row>
    <row r="39" spans="1:17" x14ac:dyDescent="0.2">
      <c r="A39" s="1646"/>
      <c r="B39" s="1647" t="s">
        <v>1273</v>
      </c>
      <c r="C39" s="1648"/>
      <c r="D39" s="1648">
        <f>'[35]2021-22'!D38*'D1FY-22'!$C$8%</f>
        <v>0</v>
      </c>
      <c r="E39" s="1648">
        <f>'[35]2021-22'!E38*'D1FY-22'!$C$8%</f>
        <v>0</v>
      </c>
      <c r="F39" s="1648">
        <f>'[35]2021-22'!F38</f>
        <v>0</v>
      </c>
      <c r="G39" s="1649"/>
      <c r="H39" s="1649">
        <f t="shared" si="5"/>
        <v>0</v>
      </c>
      <c r="I39" s="1650"/>
      <c r="J39" s="1650"/>
      <c r="K39" s="1648">
        <f>'[35]2021-22'!K38*'D1FY-22'!$C$8%</f>
        <v>0</v>
      </c>
      <c r="L39" s="1648"/>
      <c r="M39" s="1648">
        <f t="shared" si="6"/>
        <v>0</v>
      </c>
      <c r="N39" s="1648">
        <f t="shared" si="7"/>
        <v>0</v>
      </c>
      <c r="O39" s="1651">
        <f t="shared" si="8"/>
        <v>0</v>
      </c>
      <c r="P39" s="1648" t="e">
        <f t="shared" si="9"/>
        <v>#DIV/0!</v>
      </c>
    </row>
    <row r="40" spans="1:17" x14ac:dyDescent="0.2">
      <c r="A40" s="1646">
        <v>3</v>
      </c>
      <c r="B40" s="1647" t="s">
        <v>1274</v>
      </c>
      <c r="C40" s="1648"/>
      <c r="D40" s="1648">
        <f>'[35]2021-22'!D39*'D1FY-22'!$C$8%</f>
        <v>698.53928000000019</v>
      </c>
      <c r="E40" s="1648">
        <f>'[35]2021-22'!E39*'D1FY-22'!$C$8%</f>
        <v>186.81978288966445</v>
      </c>
      <c r="F40" s="1648">
        <f>'[35]2021-22'!F39</f>
        <v>295</v>
      </c>
      <c r="G40" s="1649"/>
      <c r="H40" s="1649">
        <f t="shared" si="5"/>
        <v>295</v>
      </c>
      <c r="I40" s="1650"/>
      <c r="J40" s="1650"/>
      <c r="K40" s="1648">
        <f>'[35]2021-22'!K39*'D1FY-22'!$C$8%</f>
        <v>6.584756485614581</v>
      </c>
      <c r="L40" s="1648">
        <f>H40*D40/1000</f>
        <v>206.06908760000005</v>
      </c>
      <c r="M40" s="1648">
        <f t="shared" si="6"/>
        <v>186.81978288966445</v>
      </c>
      <c r="N40" s="1648">
        <f t="shared" si="7"/>
        <v>212.65384408561462</v>
      </c>
      <c r="O40" s="1651">
        <f t="shared" si="8"/>
        <v>399.4736269752791</v>
      </c>
      <c r="P40" s="1648">
        <f t="shared" si="9"/>
        <v>571.86995550955839</v>
      </c>
    </row>
    <row r="41" spans="1:17" x14ac:dyDescent="0.2">
      <c r="A41" s="1646">
        <v>4</v>
      </c>
      <c r="B41" s="1647" t="s">
        <v>1275</v>
      </c>
      <c r="C41" s="1648"/>
      <c r="D41" s="1648">
        <f>'[35]2021-22'!D40*'D1FY-22'!$C$8%</f>
        <v>754.23362799999995</v>
      </c>
      <c r="E41" s="1648">
        <f>'[35]2021-22'!E40*'D1FY-22'!$C$8%</f>
        <v>267.37681745331258</v>
      </c>
      <c r="F41" s="1648">
        <f>'[35]2021-22'!F40</f>
        <v>294</v>
      </c>
      <c r="G41" s="1649"/>
      <c r="H41" s="1649">
        <f t="shared" si="5"/>
        <v>294</v>
      </c>
      <c r="I41" s="1650"/>
      <c r="J41" s="1650"/>
      <c r="K41" s="1648">
        <f>'[35]2021-22'!K40*'D1FY-22'!$C$8%</f>
        <v>8.6613130061106087</v>
      </c>
      <c r="L41" s="1648">
        <f>H41*D41/1000</f>
        <v>221.744686632</v>
      </c>
      <c r="M41" s="1648">
        <f t="shared" si="6"/>
        <v>267.37681745331258</v>
      </c>
      <c r="N41" s="1648">
        <f t="shared" si="7"/>
        <v>230.40599963811061</v>
      </c>
      <c r="O41" s="1651">
        <f t="shared" si="8"/>
        <v>497.78281709142323</v>
      </c>
      <c r="P41" s="1648">
        <f t="shared" si="9"/>
        <v>659.98491529924627</v>
      </c>
    </row>
    <row r="42" spans="1:17" x14ac:dyDescent="0.2">
      <c r="A42" s="1646">
        <v>5</v>
      </c>
      <c r="B42" s="1647" t="s">
        <v>1276</v>
      </c>
      <c r="C42" s="1648"/>
      <c r="D42" s="1648">
        <f>'[35]2021-22'!D41*'D1FY-22'!$C$8%</f>
        <v>1055.9270792000002</v>
      </c>
      <c r="E42" s="1648">
        <f>'[35]2021-22'!E41*'D1FY-22'!$C$8%</f>
        <v>571.48085924694271</v>
      </c>
      <c r="F42" s="1648">
        <f>'[35]2021-22'!F41</f>
        <v>299</v>
      </c>
      <c r="G42" s="1649"/>
      <c r="H42" s="1649">
        <f>F42+G42</f>
        <v>299</v>
      </c>
      <c r="I42" s="1650"/>
      <c r="J42" s="1650"/>
      <c r="K42" s="1648">
        <f>'[35]2021-22'!K41*'D1FY-22'!$C$8%</f>
        <v>18.628755281694072</v>
      </c>
      <c r="L42" s="1648">
        <f>H42*D42/1000</f>
        <v>315.72219668080004</v>
      </c>
      <c r="M42" s="1648">
        <f t="shared" si="6"/>
        <v>571.48085924694271</v>
      </c>
      <c r="N42" s="1648">
        <f t="shared" si="7"/>
        <v>334.35095196249409</v>
      </c>
      <c r="O42" s="1651">
        <f t="shared" si="8"/>
        <v>905.83181120943686</v>
      </c>
      <c r="P42" s="1648">
        <f t="shared" si="9"/>
        <v>857.85451387014371</v>
      </c>
    </row>
    <row r="43" spans="1:17" x14ac:dyDescent="0.2">
      <c r="A43" s="1646">
        <v>6</v>
      </c>
      <c r="B43" s="1647" t="s">
        <v>1277</v>
      </c>
      <c r="C43" s="1648"/>
      <c r="D43" s="1648">
        <f>'[35]2021-22'!D42</f>
        <v>207.37464</v>
      </c>
      <c r="E43" s="1648">
        <f>'[35]2021-22'!E42</f>
        <v>356.07771230501214</v>
      </c>
      <c r="F43" s="1648">
        <f>'[35]2021-22'!F42</f>
        <v>320</v>
      </c>
      <c r="G43" s="1649"/>
      <c r="H43" s="1649">
        <f>F43+G43</f>
        <v>320</v>
      </c>
      <c r="I43" s="1650"/>
      <c r="J43" s="1650"/>
      <c r="K43" s="1648">
        <f>'[35]2021-22'!K42</f>
        <v>13.285056875974108</v>
      </c>
      <c r="L43" s="1648">
        <f>H43*D43/1000</f>
        <v>66.359884800000003</v>
      </c>
      <c r="M43" s="1648">
        <f>E43</f>
        <v>356.07771230501214</v>
      </c>
      <c r="N43" s="1648">
        <f>I43+J43+K43+L43</f>
        <v>79.64494167597411</v>
      </c>
      <c r="O43" s="1651">
        <f>M43+N43</f>
        <v>435.72265398098625</v>
      </c>
      <c r="P43" s="1648">
        <f>O43/D43*1000</f>
        <v>2101.1376028476107</v>
      </c>
    </row>
    <row r="44" spans="1:17" x14ac:dyDescent="0.2">
      <c r="A44" s="1646"/>
      <c r="B44" s="1647" t="s">
        <v>1278</v>
      </c>
      <c r="C44" s="1648"/>
      <c r="D44" s="1648"/>
      <c r="E44" s="1648"/>
      <c r="F44" s="1648"/>
      <c r="G44" s="1649"/>
      <c r="H44" s="1649"/>
      <c r="I44" s="1650"/>
      <c r="J44" s="1650"/>
      <c r="K44" s="1648"/>
      <c r="L44" s="1648"/>
      <c r="M44" s="1648"/>
      <c r="N44" s="1648"/>
      <c r="O44" s="1651"/>
      <c r="P44" s="1648"/>
    </row>
    <row r="45" spans="1:17" x14ac:dyDescent="0.2">
      <c r="A45" s="1646">
        <v>1</v>
      </c>
      <c r="B45" s="1647" t="s">
        <v>1279</v>
      </c>
      <c r="C45" s="1648"/>
      <c r="D45" s="1648">
        <f>'[35]2021-22'!D44*'D1FY-22'!$C$8%</f>
        <v>2959.890907200001</v>
      </c>
      <c r="E45" s="1648">
        <f>'[35]2021-22'!E44*'D1FY-22'!$C$8%</f>
        <v>1309.272612892594</v>
      </c>
      <c r="F45" s="1648">
        <f>'[35]2021-22'!F44</f>
        <v>290</v>
      </c>
      <c r="G45" s="1649"/>
      <c r="H45" s="1649">
        <f>F45+G45</f>
        <v>290</v>
      </c>
      <c r="I45" s="1650"/>
      <c r="J45" s="1650"/>
      <c r="K45" s="1648">
        <f>'[35]2021-22'!K44*'D1FY-22'!$C$8%</f>
        <v>44.945438223187281</v>
      </c>
      <c r="L45" s="1648">
        <f>H45*D45/1000</f>
        <v>858.36836308800036</v>
      </c>
      <c r="M45" s="1648">
        <f>E45</f>
        <v>1309.272612892594</v>
      </c>
      <c r="N45" s="1648">
        <f>I45+J45+K45+L45</f>
        <v>903.3138013111876</v>
      </c>
      <c r="O45" s="1651">
        <f>M45+N45</f>
        <v>2212.5864142037817</v>
      </c>
      <c r="P45" s="1648">
        <f t="shared" si="9"/>
        <v>747.52296066777853</v>
      </c>
    </row>
    <row r="46" spans="1:17" s="1657" customFormat="1" x14ac:dyDescent="0.2">
      <c r="A46" s="1652"/>
      <c r="B46" s="1653" t="s">
        <v>134</v>
      </c>
      <c r="C46" s="1654"/>
      <c r="D46" s="1654">
        <f>SUM(D37:D45)</f>
        <v>7766.5811528368013</v>
      </c>
      <c r="E46" s="1654">
        <f>SUM(E37:E45)</f>
        <v>3312.190919624767</v>
      </c>
      <c r="F46" s="1654">
        <f>SUM(F37:F45)</f>
        <v>2078</v>
      </c>
      <c r="G46" s="1654">
        <f>SUM(G37:G45)</f>
        <v>0</v>
      </c>
      <c r="H46" s="1654">
        <f>SUM(H37:H45)</f>
        <v>2078</v>
      </c>
      <c r="I46" s="1654"/>
      <c r="J46" s="1654"/>
      <c r="K46" s="1654">
        <f>SUM(K37:K45)</f>
        <v>108.26552047600833</v>
      </c>
      <c r="L46" s="1654">
        <f>SUM(L37:L45)</f>
        <v>2288.14728091184</v>
      </c>
      <c r="M46" s="1654">
        <f>SUM(M37:M45)</f>
        <v>3312.190919624767</v>
      </c>
      <c r="N46" s="1654">
        <f>SUM(N37:N45)</f>
        <v>2396.4128013878485</v>
      </c>
      <c r="O46" s="1654">
        <f>SUM(O37:O45)</f>
        <v>5708.603721012616</v>
      </c>
      <c r="P46" s="1648">
        <f t="shared" si="9"/>
        <v>735.02144749076706</v>
      </c>
      <c r="Q46" s="1655"/>
    </row>
    <row r="47" spans="1:17" s="1657" customFormat="1" ht="12.75" x14ac:dyDescent="0.2">
      <c r="A47" s="1652"/>
      <c r="B47" s="1667" t="s">
        <v>135</v>
      </c>
      <c r="C47" s="1654"/>
      <c r="D47" s="1654">
        <f>D46+D35</f>
        <v>12010.34138225135</v>
      </c>
      <c r="E47" s="1654">
        <f>E46+E35</f>
        <v>3312.190919624767</v>
      </c>
      <c r="F47" s="1654">
        <f>F46+F35</f>
        <v>2078</v>
      </c>
      <c r="G47" s="1654"/>
      <c r="H47" s="1654"/>
      <c r="I47" s="1654"/>
      <c r="J47" s="1654"/>
      <c r="K47" s="1654">
        <f>K46+K35</f>
        <v>108.26552047600833</v>
      </c>
      <c r="L47" s="1654">
        <f>L46+L35</f>
        <v>2781.4629380374904</v>
      </c>
      <c r="M47" s="1654">
        <f>M46+M35</f>
        <v>3312.190919624767</v>
      </c>
      <c r="N47" s="1654">
        <f>N46+N35</f>
        <v>2908.3136431709468</v>
      </c>
      <c r="O47" s="1668">
        <f>O46+O35</f>
        <v>6220.5045627957143</v>
      </c>
      <c r="P47" s="1654">
        <f>O47/D47*1000</f>
        <v>517.92903838589098</v>
      </c>
      <c r="Q47" s="1655"/>
    </row>
    <row r="48" spans="1:17" x14ac:dyDescent="0.2">
      <c r="A48" s="1646" t="s">
        <v>196</v>
      </c>
      <c r="B48" s="1647" t="s">
        <v>136</v>
      </c>
      <c r="C48" s="1648"/>
      <c r="D48" s="1648"/>
      <c r="E48" s="1648"/>
      <c r="F48" s="1648"/>
      <c r="G48" s="1649"/>
      <c r="H48" s="1649">
        <f t="shared" si="5"/>
        <v>0</v>
      </c>
      <c r="I48" s="1650"/>
      <c r="J48" s="1650"/>
      <c r="K48" s="1650"/>
      <c r="L48" s="1648"/>
      <c r="M48" s="1648"/>
      <c r="N48" s="1648"/>
      <c r="O48" s="1651"/>
      <c r="P48" s="1648"/>
    </row>
    <row r="49" spans="1:16" x14ac:dyDescent="0.2">
      <c r="A49" s="1646">
        <v>1</v>
      </c>
      <c r="B49" s="1647" t="s">
        <v>1280</v>
      </c>
      <c r="C49" s="1648">
        <f>'[35]2021-22'!C48*'D1FY-22'!$C$5%</f>
        <v>1214.8407985000001</v>
      </c>
      <c r="D49" s="1648">
        <f>'[35]2021-22'!D48*'D1FY-22'!$C$5%</f>
        <v>1170.3776252749001</v>
      </c>
      <c r="E49" s="1648">
        <f>'[35]2021-22'!E48*'D1FY-22'!$C$5%</f>
        <v>105.91977708000002</v>
      </c>
      <c r="F49" s="1648">
        <f>'[35]2021-22'!F48</f>
        <v>241.26666666666671</v>
      </c>
      <c r="G49" s="1648">
        <f>'[35]2021-22'!G48</f>
        <v>0</v>
      </c>
      <c r="H49" s="1649">
        <f t="shared" si="5"/>
        <v>241.26666666666671</v>
      </c>
      <c r="I49" s="1669"/>
      <c r="J49" s="1650"/>
      <c r="K49" s="1650"/>
      <c r="L49" s="1648">
        <f t="shared" ref="L49:L63" si="10">H49*C49/1000</f>
        <v>293.10058998476671</v>
      </c>
      <c r="M49" s="1648">
        <f t="shared" ref="M49:M69" si="11">E49</f>
        <v>105.91977708000002</v>
      </c>
      <c r="N49" s="1648">
        <f>I49+J49+K49+L49</f>
        <v>293.10058998476671</v>
      </c>
      <c r="O49" s="1651">
        <f t="shared" ref="O49:O69" si="12">M49+N49</f>
        <v>399.02036706476673</v>
      </c>
      <c r="P49" s="1648">
        <f t="shared" ref="P49:P67" si="13">O49/D49*1000</f>
        <v>340.9330103786325</v>
      </c>
    </row>
    <row r="50" spans="1:16" x14ac:dyDescent="0.2">
      <c r="A50" s="1646">
        <v>2</v>
      </c>
      <c r="B50" s="1647" t="s">
        <v>621</v>
      </c>
      <c r="C50" s="1648">
        <f>'[35]2021-22'!C49*'D1FY-22'!$C$5%</f>
        <v>313.07188509999997</v>
      </c>
      <c r="D50" s="1648">
        <f>'[35]2021-22'!D49*'D1FY-22'!$C$5%</f>
        <v>301.61345410534</v>
      </c>
      <c r="E50" s="1648">
        <f>'[35]2021-22'!E49*'D1FY-22'!$C$5%</f>
        <v>28.437451305000003</v>
      </c>
      <c r="F50" s="1648">
        <f>'[35]2021-22'!F49</f>
        <v>237.86666666666662</v>
      </c>
      <c r="G50" s="1648">
        <f>'[35]2021-22'!G49</f>
        <v>0</v>
      </c>
      <c r="H50" s="1649">
        <f t="shared" si="5"/>
        <v>237.86666666666662</v>
      </c>
      <c r="I50" s="1669"/>
      <c r="J50" s="1650"/>
      <c r="K50" s="1669"/>
      <c r="L50" s="1648">
        <f t="shared" si="10"/>
        <v>74.469365735786653</v>
      </c>
      <c r="M50" s="1648">
        <f t="shared" si="11"/>
        <v>28.437451305000003</v>
      </c>
      <c r="N50" s="1648">
        <f>I50+J50+K50+L50</f>
        <v>74.469365735786653</v>
      </c>
      <c r="O50" s="1651">
        <f t="shared" si="12"/>
        <v>102.90681704078665</v>
      </c>
      <c r="P50" s="1648">
        <f t="shared" si="13"/>
        <v>341.18775419363726</v>
      </c>
    </row>
    <row r="51" spans="1:16" x14ac:dyDescent="0.2">
      <c r="A51" s="1646">
        <v>3</v>
      </c>
      <c r="B51" s="1647" t="s">
        <v>137</v>
      </c>
      <c r="C51" s="1648">
        <f>'[35]2021-22'!C50*$C$5%</f>
        <v>1202.4472096000002</v>
      </c>
      <c r="D51" s="1648">
        <f>'[35]2021-22'!D50*$C$5%</f>
        <v>1158.4376417286401</v>
      </c>
      <c r="E51" s="1648">
        <f>'[35]2021-22'!E50*$C$5%</f>
        <v>96.863263220000022</v>
      </c>
      <c r="F51" s="1648">
        <f>'[35]2021-22'!F50</f>
        <v>208.76666666666668</v>
      </c>
      <c r="G51" s="1648">
        <f>'[35]2021-22'!G50</f>
        <v>0</v>
      </c>
      <c r="H51" s="1649">
        <f t="shared" si="5"/>
        <v>208.76666666666668</v>
      </c>
      <c r="I51" s="1669"/>
      <c r="J51" s="1648"/>
      <c r="K51" s="1650"/>
      <c r="L51" s="1648">
        <f t="shared" si="10"/>
        <v>251.03089579082672</v>
      </c>
      <c r="M51" s="1648">
        <f t="shared" si="11"/>
        <v>96.863263220000022</v>
      </c>
      <c r="N51" s="1648">
        <f>I51+J51+K51+L51</f>
        <v>251.03089579082672</v>
      </c>
      <c r="O51" s="1651">
        <f t="shared" si="12"/>
        <v>347.89415901082674</v>
      </c>
      <c r="P51" s="1648">
        <f t="shared" si="13"/>
        <v>300.31323782926569</v>
      </c>
    </row>
    <row r="52" spans="1:16" x14ac:dyDescent="0.2">
      <c r="A52" s="1646">
        <v>4</v>
      </c>
      <c r="B52" s="1647" t="s">
        <v>138</v>
      </c>
      <c r="C52" s="1648">
        <f>'[35]2021-22'!C51*'D1FY-22'!$C$5%</f>
        <v>416.80145520000002</v>
      </c>
      <c r="D52" s="1648">
        <f>'[35]2021-22'!D51*'D1FY-22'!$C$5%</f>
        <v>401.54652193968002</v>
      </c>
      <c r="E52" s="1648">
        <f>'[35]2021-22'!E51*'D1FY-22'!$C$5%</f>
        <v>37.057258679999997</v>
      </c>
      <c r="F52" s="1648">
        <f>'[35]2021-22'!F51</f>
        <v>268.56666666666666</v>
      </c>
      <c r="G52" s="1648">
        <f>'[35]2021-22'!G51</f>
        <v>0</v>
      </c>
      <c r="H52" s="1649">
        <f t="shared" si="5"/>
        <v>268.56666666666666</v>
      </c>
      <c r="I52" s="1669"/>
      <c r="J52" s="1650"/>
      <c r="K52" s="1650"/>
      <c r="L52" s="1648">
        <f t="shared" si="10"/>
        <v>111.93897748488</v>
      </c>
      <c r="M52" s="1648">
        <f t="shared" si="11"/>
        <v>37.057258679999997</v>
      </c>
      <c r="N52" s="1648">
        <f t="shared" ref="N52:N69" si="14">I52+J52+K52+L52</f>
        <v>111.93897748488</v>
      </c>
      <c r="O52" s="1651">
        <f t="shared" si="12"/>
        <v>148.99623616488</v>
      </c>
      <c r="P52" s="1648">
        <f t="shared" si="13"/>
        <v>371.05597489713062</v>
      </c>
    </row>
    <row r="53" spans="1:16" x14ac:dyDescent="0.2">
      <c r="A53" s="1646">
        <v>5</v>
      </c>
      <c r="B53" s="1647" t="s">
        <v>139</v>
      </c>
      <c r="C53" s="1648">
        <f>'[35]2021-22'!C52*'D1FY-22'!$C$5%</f>
        <v>576.70558749999998</v>
      </c>
      <c r="D53" s="1648">
        <f>'[35]2021-22'!D52*'D1FY-22'!$C$5%</f>
        <v>555.59816299749991</v>
      </c>
      <c r="E53" s="1648">
        <f>'[35]2021-22'!E52*'D1FY-22'!$C$5%</f>
        <v>51.659104399000007</v>
      </c>
      <c r="F53" s="1648">
        <f>'[35]2021-22'!F52</f>
        <v>277.16666666666669</v>
      </c>
      <c r="G53" s="1648">
        <f>'[35]2021-22'!G52</f>
        <v>0</v>
      </c>
      <c r="H53" s="1649">
        <f t="shared" si="5"/>
        <v>277.16666666666669</v>
      </c>
      <c r="I53" s="1669"/>
      <c r="J53" s="1650"/>
      <c r="K53" s="1650"/>
      <c r="L53" s="1648">
        <f t="shared" si="10"/>
        <v>159.84356533541668</v>
      </c>
      <c r="M53" s="1648">
        <f t="shared" si="11"/>
        <v>51.659104399000007</v>
      </c>
      <c r="N53" s="1648">
        <f t="shared" si="14"/>
        <v>159.84356533541668</v>
      </c>
      <c r="O53" s="1651">
        <f t="shared" si="12"/>
        <v>211.50266973441668</v>
      </c>
      <c r="P53" s="1648">
        <f t="shared" si="13"/>
        <v>380.67561021681848</v>
      </c>
    </row>
    <row r="54" spans="1:16" x14ac:dyDescent="0.2">
      <c r="A54" s="1646">
        <v>6</v>
      </c>
      <c r="B54" s="1647" t="s">
        <v>1281</v>
      </c>
      <c r="C54" s="1648">
        <f>'[35]2021-22'!C53*'D1FY-22'!$C$5%</f>
        <v>371.34747860000004</v>
      </c>
      <c r="D54" s="1648">
        <f>'[35]2021-22'!D53*'D1FY-22'!$C$5%</f>
        <v>357.75616088324006</v>
      </c>
      <c r="E54" s="1648">
        <f>'[35]2021-22'!E53*'D1FY-22'!$C$5%</f>
        <v>37.956604974000001</v>
      </c>
      <c r="F54" s="1648">
        <f>'[35]2021-22'!F53</f>
        <v>255.20000000000002</v>
      </c>
      <c r="G54" s="1648">
        <f>'[35]2021-22'!G53</f>
        <v>0</v>
      </c>
      <c r="H54" s="1649">
        <f t="shared" si="5"/>
        <v>255.20000000000002</v>
      </c>
      <c r="I54" s="1650"/>
      <c r="J54" s="1650"/>
      <c r="K54" s="1650"/>
      <c r="L54" s="1648">
        <f t="shared" si="10"/>
        <v>94.767876538720017</v>
      </c>
      <c r="M54" s="1648">
        <f t="shared" si="11"/>
        <v>37.956604974000001</v>
      </c>
      <c r="N54" s="1648">
        <f t="shared" si="14"/>
        <v>94.767876538720017</v>
      </c>
      <c r="O54" s="1651">
        <f t="shared" si="12"/>
        <v>132.72448151272002</v>
      </c>
      <c r="P54" s="1648">
        <f t="shared" si="13"/>
        <v>370.99146297032456</v>
      </c>
    </row>
    <row r="55" spans="1:16" x14ac:dyDescent="0.2">
      <c r="A55" s="1646">
        <v>7</v>
      </c>
      <c r="B55" s="1647" t="s">
        <v>1282</v>
      </c>
      <c r="C55" s="1648">
        <f>'[35]2021-22'!C54*'D1FY-22'!$C$5%</f>
        <v>351.92312170000002</v>
      </c>
      <c r="D55" s="1648">
        <f>'[35]2021-22'!D54*'D1FY-22'!$C$5%</f>
        <v>339.04273544578001</v>
      </c>
      <c r="E55" s="1648">
        <f>'[35]2021-22'!E54*'D1FY-22'!$C$5%</f>
        <v>99.812855287560012</v>
      </c>
      <c r="F55" s="1648">
        <f>'[35]2021-22'!F54</f>
        <v>262.4666666666667</v>
      </c>
      <c r="G55" s="1648">
        <f>'[35]2021-22'!G54</f>
        <v>0</v>
      </c>
      <c r="H55" s="1649">
        <f t="shared" si="5"/>
        <v>262.4666666666667</v>
      </c>
      <c r="I55" s="1650"/>
      <c r="J55" s="1650"/>
      <c r="K55" s="1650"/>
      <c r="L55" s="1648">
        <f t="shared" si="10"/>
        <v>92.368088675526678</v>
      </c>
      <c r="M55" s="1648">
        <f t="shared" si="11"/>
        <v>99.812855287560012</v>
      </c>
      <c r="N55" s="1648">
        <f t="shared" si="14"/>
        <v>92.368088675526678</v>
      </c>
      <c r="O55" s="1651">
        <f t="shared" si="12"/>
        <v>192.18094396308669</v>
      </c>
      <c r="P55" s="1648">
        <f t="shared" si="13"/>
        <v>566.83398247835464</v>
      </c>
    </row>
    <row r="56" spans="1:16" x14ac:dyDescent="0.2">
      <c r="A56" s="1646">
        <v>8</v>
      </c>
      <c r="B56" s="1647" t="s">
        <v>1283</v>
      </c>
      <c r="C56" s="1648">
        <f>'[35]2021-22'!C55*'D1FY-22'!$C$5%</f>
        <v>165.92366695679999</v>
      </c>
      <c r="D56" s="1648">
        <f>'[35]2021-22'!D55*'D1FY-22'!$C$5%</f>
        <v>159.85086074618113</v>
      </c>
      <c r="E56" s="1648">
        <f>'[35]2021-22'!E55*'D1FY-22'!$C$5%</f>
        <v>39.1889238475</v>
      </c>
      <c r="F56" s="1648">
        <f>'[35]2021-22'!F55</f>
        <v>234.39999999999998</v>
      </c>
      <c r="G56" s="1648">
        <f>'[35]2021-22'!G55</f>
        <v>0</v>
      </c>
      <c r="H56" s="1649">
        <f>F56+G56</f>
        <v>234.39999999999998</v>
      </c>
      <c r="I56" s="1650"/>
      <c r="J56" s="1650"/>
      <c r="K56" s="1650"/>
      <c r="L56" s="1648">
        <f>H56*C56/1000</f>
        <v>38.892507534673918</v>
      </c>
      <c r="M56" s="1648">
        <f>E56</f>
        <v>39.1889238475</v>
      </c>
      <c r="N56" s="1648">
        <f>I56+J56+K56+L56</f>
        <v>38.892507534673918</v>
      </c>
      <c r="O56" s="1651">
        <f>M56+N56</f>
        <v>78.081431382173918</v>
      </c>
      <c r="P56" s="1648">
        <f>O56/D56*1000</f>
        <v>488.4642536029591</v>
      </c>
    </row>
    <row r="57" spans="1:16" x14ac:dyDescent="0.2">
      <c r="A57" s="1646">
        <v>9</v>
      </c>
      <c r="B57" s="1647" t="s">
        <v>277</v>
      </c>
      <c r="C57" s="1648">
        <f>'[35]2021-22'!C56*'D1FY-22'!$C$5%</f>
        <v>90.055267999999998</v>
      </c>
      <c r="D57" s="1648">
        <f>'[35]2021-22'!D56*'D1FY-22'!$C$5%</f>
        <v>86.759245191200009</v>
      </c>
      <c r="E57" s="1648">
        <f>'[35]2021-22'!E56*'D1FY-22'!$C$5%</f>
        <v>0</v>
      </c>
      <c r="F57" s="1648">
        <f>'[35]2021-22'!F56</f>
        <v>259.87999999999994</v>
      </c>
      <c r="G57" s="1648">
        <f>'[35]2021-22'!G56</f>
        <v>0</v>
      </c>
      <c r="H57" s="1649">
        <f t="shared" si="5"/>
        <v>259.87999999999994</v>
      </c>
      <c r="I57" s="1648"/>
      <c r="J57" s="1650"/>
      <c r="K57" s="1648">
        <f>'[35]2021-22'!K56*'D1FY-22'!$C$5%</f>
        <v>0</v>
      </c>
      <c r="L57" s="1648">
        <f t="shared" si="10"/>
        <v>23.403563047839995</v>
      </c>
      <c r="M57" s="1648">
        <f t="shared" si="11"/>
        <v>0</v>
      </c>
      <c r="N57" s="1648">
        <f t="shared" si="14"/>
        <v>23.403563047839995</v>
      </c>
      <c r="O57" s="1651">
        <f t="shared" si="12"/>
        <v>23.403563047839995</v>
      </c>
      <c r="P57" s="1648">
        <f t="shared" si="13"/>
        <v>269.75295827278376</v>
      </c>
    </row>
    <row r="58" spans="1:16" x14ac:dyDescent="0.2">
      <c r="A58" s="1646">
        <v>10</v>
      </c>
      <c r="B58" s="1647" t="s">
        <v>1284</v>
      </c>
      <c r="C58" s="1648">
        <f>'[35]2021-22'!C57*'D1FY-22'!$C$5%</f>
        <v>446.78788000000003</v>
      </c>
      <c r="D58" s="1648">
        <f>'[35]2021-22'!D57*'D1FY-22'!$C$5%</f>
        <v>430.43544359200001</v>
      </c>
      <c r="E58" s="1648">
        <f>'[35]2021-22'!E57*'D1FY-22'!$C$5%</f>
        <v>0</v>
      </c>
      <c r="F58" s="1648">
        <f>'[35]2021-22'!F57</f>
        <v>341.67333333333329</v>
      </c>
      <c r="G58" s="1648">
        <f>'[35]2021-22'!G57</f>
        <v>0</v>
      </c>
      <c r="H58" s="1649">
        <f t="shared" si="5"/>
        <v>341.67333333333329</v>
      </c>
      <c r="I58" s="1650"/>
      <c r="J58" s="1650"/>
      <c r="K58" s="1648">
        <f>'[35]2021-22'!K57*'D1FY-22'!$C$5%</f>
        <v>0</v>
      </c>
      <c r="L58" s="1648">
        <f t="shared" si="10"/>
        <v>152.65550425253332</v>
      </c>
      <c r="M58" s="1648">
        <f t="shared" si="11"/>
        <v>0</v>
      </c>
      <c r="N58" s="1648">
        <f t="shared" si="14"/>
        <v>152.65550425253332</v>
      </c>
      <c r="O58" s="1651">
        <f t="shared" si="12"/>
        <v>152.65550425253332</v>
      </c>
      <c r="P58" s="1648">
        <f t="shared" si="13"/>
        <v>354.65365718635383</v>
      </c>
    </row>
    <row r="59" spans="1:16" x14ac:dyDescent="0.2">
      <c r="A59" s="1646">
        <v>11</v>
      </c>
      <c r="B59" s="1670" t="s">
        <v>1285</v>
      </c>
      <c r="C59" s="1648">
        <f>'[35]2021-22'!C58*'D1FY-22'!$C$5%</f>
        <v>459.81734699999998</v>
      </c>
      <c r="D59" s="1648">
        <f>'[35]2021-22'!D58*'D1FY-22'!$C$5%</f>
        <v>442.98803209979997</v>
      </c>
      <c r="E59" s="1648">
        <f>'[35]2021-22'!E58*'D1FY-22'!$C$5%</f>
        <v>0</v>
      </c>
      <c r="F59" s="1648">
        <f>'[35]2021-22'!F58</f>
        <v>341.67333333333329</v>
      </c>
      <c r="G59" s="1648">
        <f>'[35]2021-22'!G58</f>
        <v>0</v>
      </c>
      <c r="H59" s="1649">
        <f t="shared" si="5"/>
        <v>341.67333333333329</v>
      </c>
      <c r="I59" s="1650"/>
      <c r="J59" s="1650"/>
      <c r="K59" s="1648">
        <f>'[35]2021-22'!K58*'D1FY-22'!$C$5%</f>
        <v>0</v>
      </c>
      <c r="L59" s="1648">
        <f t="shared" si="10"/>
        <v>157.10732567397997</v>
      </c>
      <c r="M59" s="1648">
        <f t="shared" si="11"/>
        <v>0</v>
      </c>
      <c r="N59" s="1648">
        <f t="shared" si="14"/>
        <v>157.10732567397997</v>
      </c>
      <c r="O59" s="1651">
        <f t="shared" si="12"/>
        <v>157.10732567397997</v>
      </c>
      <c r="P59" s="1648">
        <f t="shared" si="13"/>
        <v>354.65365718635383</v>
      </c>
    </row>
    <row r="60" spans="1:16" x14ac:dyDescent="0.2">
      <c r="A60" s="1646">
        <v>12</v>
      </c>
      <c r="B60" s="1670" t="s">
        <v>1286</v>
      </c>
      <c r="C60" s="1648">
        <f>'[35]2021-22'!C59*'D1FY-22'!$C$5%</f>
        <v>233.93883060000002</v>
      </c>
      <c r="D60" s="1648">
        <f>'[35]2021-22'!D59*'D1FY-22'!$C$5%</f>
        <v>225.37666940004002</v>
      </c>
      <c r="E60" s="1648">
        <f>'[35]2021-22'!E59*'D1FY-22'!$C$5%</f>
        <v>105.82914500770002</v>
      </c>
      <c r="F60" s="1648">
        <f>'[35]2021-22'!F59</f>
        <v>296.43333333333339</v>
      </c>
      <c r="G60" s="1648">
        <f>'[35]2021-22'!G59</f>
        <v>0</v>
      </c>
      <c r="H60" s="1649">
        <f t="shared" si="5"/>
        <v>296.43333333333339</v>
      </c>
      <c r="I60" s="1650"/>
      <c r="J60" s="1650"/>
      <c r="K60" s="1648">
        <f>'[35]2021-22'!K59*'D1FY-22'!$C$5%</f>
        <v>0</v>
      </c>
      <c r="L60" s="1648">
        <f t="shared" si="10"/>
        <v>69.347267350860008</v>
      </c>
      <c r="M60" s="1648">
        <f t="shared" si="11"/>
        <v>105.82914500770002</v>
      </c>
      <c r="N60" s="1648">
        <f t="shared" si="14"/>
        <v>69.347267350860008</v>
      </c>
      <c r="O60" s="1651">
        <f t="shared" si="12"/>
        <v>175.17641235856001</v>
      </c>
      <c r="P60" s="1648">
        <f t="shared" si="13"/>
        <v>777.26063139048642</v>
      </c>
    </row>
    <row r="61" spans="1:16" x14ac:dyDescent="0.2">
      <c r="A61" s="1646">
        <v>13</v>
      </c>
      <c r="B61" s="1670" t="s">
        <v>1287</v>
      </c>
      <c r="C61" s="1648">
        <f>'[35]2021-22'!C60*'D1FY-22'!$C$5%</f>
        <v>121.63341</v>
      </c>
      <c r="D61" s="1648">
        <f>'[35]2021-22'!D60*'D1FY-22'!$C$5%</f>
        <v>117.181627194</v>
      </c>
      <c r="E61" s="1648">
        <f>'[35]2021-22'!E60*'D1FY-22'!$C$5%</f>
        <v>111.82574481549999</v>
      </c>
      <c r="F61" s="1648">
        <f>'[35]2021-22'!F60</f>
        <v>314.79999999999995</v>
      </c>
      <c r="G61" s="1648">
        <f>'[35]2021-22'!G60</f>
        <v>0</v>
      </c>
      <c r="H61" s="1649">
        <f t="shared" si="5"/>
        <v>314.79999999999995</v>
      </c>
      <c r="I61" s="1650"/>
      <c r="J61" s="1671"/>
      <c r="K61" s="1648">
        <f>'[35]2021-22'!K60*'D1FY-22'!$C$5%</f>
        <v>0</v>
      </c>
      <c r="L61" s="1648">
        <f t="shared" si="10"/>
        <v>38.290197467999988</v>
      </c>
      <c r="M61" s="1648">
        <f t="shared" si="11"/>
        <v>111.82574481549999</v>
      </c>
      <c r="N61" s="1648">
        <f t="shared" si="14"/>
        <v>38.290197467999988</v>
      </c>
      <c r="O61" s="1651">
        <f t="shared" si="12"/>
        <v>150.11594228349998</v>
      </c>
      <c r="P61" s="1648">
        <f t="shared" si="13"/>
        <v>1281.0535736543031</v>
      </c>
    </row>
    <row r="62" spans="1:16" x14ac:dyDescent="0.2">
      <c r="A62" s="1646">
        <v>14</v>
      </c>
      <c r="B62" s="1647" t="s">
        <v>1288</v>
      </c>
      <c r="C62" s="1648">
        <f>'[35]2021-22'!C61*'D1FY-22'!$C$5%</f>
        <v>216.99472</v>
      </c>
      <c r="D62" s="1648">
        <f>'[35]2021-22'!D61*'D1FY-22'!$C$5%</f>
        <v>209.05271324799998</v>
      </c>
      <c r="E62" s="1648">
        <f>'[35]2021-22'!E61*'D1FY-22'!$C$5%</f>
        <v>124.10878979760001</v>
      </c>
      <c r="F62" s="1648">
        <f>'[35]2021-22'!F61</f>
        <v>288.43333333333334</v>
      </c>
      <c r="G62" s="1648">
        <f>'[35]2021-22'!G61</f>
        <v>0</v>
      </c>
      <c r="H62" s="1649">
        <f t="shared" si="5"/>
        <v>288.43333333333334</v>
      </c>
      <c r="I62" s="1650"/>
      <c r="J62" s="1671"/>
      <c r="K62" s="1648">
        <f>'[35]2021-22'!K61*'D1FY-22'!$C$5%</f>
        <v>0</v>
      </c>
      <c r="L62" s="1648">
        <f t="shared" si="10"/>
        <v>62.588510405333338</v>
      </c>
      <c r="M62" s="1648">
        <f t="shared" si="11"/>
        <v>124.10878979760001</v>
      </c>
      <c r="N62" s="1648">
        <f t="shared" si="14"/>
        <v>62.588510405333338</v>
      </c>
      <c r="O62" s="1651">
        <f t="shared" si="12"/>
        <v>186.69730020293335</v>
      </c>
      <c r="P62" s="1648">
        <f t="shared" si="13"/>
        <v>893.06327242667101</v>
      </c>
    </row>
    <row r="63" spans="1:16" x14ac:dyDescent="0.2">
      <c r="A63" s="1646">
        <v>15</v>
      </c>
      <c r="B63" s="1670" t="s">
        <v>1289</v>
      </c>
      <c r="C63" s="1648">
        <f>'[35]2021-22'!C62*'D1FY-22'!$C$5%</f>
        <v>602.57289999999989</v>
      </c>
      <c r="D63" s="1648">
        <f>'[35]2021-22'!D62*'D1FY-22'!$C$5%</f>
        <v>580.51873185999989</v>
      </c>
      <c r="E63" s="1648">
        <f>'[35]2021-22'!E62*'D1FY-22'!$C$5%</f>
        <v>0</v>
      </c>
      <c r="F63" s="1648">
        <f>'[35]2021-22'!F62</f>
        <v>408.95260430053685</v>
      </c>
      <c r="G63" s="1648">
        <f>'[35]2021-22'!G62</f>
        <v>0</v>
      </c>
      <c r="H63" s="1649">
        <f t="shared" si="5"/>
        <v>408.95260430053685</v>
      </c>
      <c r="I63" s="1650"/>
      <c r="J63" s="1671"/>
      <c r="K63" s="1648">
        <f>'[35]2021-22'!K62*'D1FY-22'!$C$5%</f>
        <v>0</v>
      </c>
      <c r="L63" s="1648">
        <f t="shared" si="10"/>
        <v>246.4237567359269</v>
      </c>
      <c r="M63" s="1648">
        <f t="shared" si="11"/>
        <v>0</v>
      </c>
      <c r="N63" s="1648">
        <f t="shared" si="14"/>
        <v>246.4237567359269</v>
      </c>
      <c r="O63" s="1651">
        <f t="shared" si="12"/>
        <v>246.4237567359269</v>
      </c>
      <c r="P63" s="1648">
        <f t="shared" si="13"/>
        <v>424.48889796609598</v>
      </c>
    </row>
    <row r="64" spans="1:16" x14ac:dyDescent="0.2">
      <c r="A64" s="1646">
        <v>16</v>
      </c>
      <c r="B64" s="1670" t="s">
        <v>1290</v>
      </c>
      <c r="C64" s="1648">
        <f>'[35]2021-22'!C63*'D1FY-22'!$C$5%</f>
        <v>600.21132599999999</v>
      </c>
      <c r="D64" s="1648">
        <f>'[35]2021-22'!D63*'D1FY-22'!$C$5%</f>
        <v>578.24359146839993</v>
      </c>
      <c r="E64" s="1648">
        <f>'[35]2021-22'!E63*'D1FY-22'!$C$5%</f>
        <v>0</v>
      </c>
      <c r="F64" s="1648">
        <f>'[35]2021-22'!F63</f>
        <v>408.95260178714199</v>
      </c>
      <c r="G64" s="1648">
        <f>'[35]2021-22'!G63</f>
        <v>0</v>
      </c>
      <c r="H64" s="1649">
        <f>F64+G64</f>
        <v>408.95260178714199</v>
      </c>
      <c r="I64" s="1650"/>
      <c r="J64" s="1671"/>
      <c r="K64" s="1648"/>
      <c r="L64" s="1648">
        <f>H64*C64/1000</f>
        <v>245.45798338981047</v>
      </c>
      <c r="M64" s="1648">
        <f t="shared" si="11"/>
        <v>0</v>
      </c>
      <c r="N64" s="1648">
        <f>I64+J64+K64+L64</f>
        <v>245.45798338981047</v>
      </c>
      <c r="O64" s="1651">
        <f t="shared" si="12"/>
        <v>245.45798338981047</v>
      </c>
      <c r="P64" s="1648">
        <f>O64/D64*1000</f>
        <v>424.48889535721617</v>
      </c>
    </row>
    <row r="65" spans="1:17" x14ac:dyDescent="0.2">
      <c r="A65" s="1646">
        <v>17</v>
      </c>
      <c r="B65" s="1670" t="s">
        <v>1291</v>
      </c>
      <c r="C65" s="1648">
        <f>'[35]2021-22'!C64*49%</f>
        <v>1071.1175212499998</v>
      </c>
      <c r="D65" s="1648">
        <f>'[35]2021-22'!D64*49%</f>
        <v>1031.9146199722497</v>
      </c>
      <c r="E65" s="1648">
        <f>'[35]2021-22'!E64*49%</f>
        <v>732.48453580399985</v>
      </c>
      <c r="F65" s="1648">
        <f>'[35]2021-22'!F64</f>
        <v>346.4</v>
      </c>
      <c r="G65" s="1648">
        <f>'[35]2021-22'!G64</f>
        <v>0</v>
      </c>
      <c r="H65" s="1649">
        <f>F65+G65</f>
        <v>346.4</v>
      </c>
      <c r="I65" s="1650"/>
      <c r="J65" s="1671"/>
      <c r="K65" s="1648"/>
      <c r="L65" s="1648">
        <f>H65*C65/1000</f>
        <v>371.03510936099991</v>
      </c>
      <c r="M65" s="1648">
        <f t="shared" si="11"/>
        <v>732.48453580399985</v>
      </c>
      <c r="N65" s="1648">
        <f t="shared" si="14"/>
        <v>371.03510936099991</v>
      </c>
      <c r="O65" s="1651">
        <f t="shared" si="12"/>
        <v>1103.5196451649997</v>
      </c>
      <c r="P65" s="1648">
        <f t="shared" si="13"/>
        <v>1069.3904551857941</v>
      </c>
    </row>
    <row r="66" spans="1:17" x14ac:dyDescent="0.2">
      <c r="A66" s="1646">
        <v>18</v>
      </c>
      <c r="B66" s="1672" t="s">
        <v>1292</v>
      </c>
      <c r="C66" s="1648">
        <f>'[35]2021-22'!C65*'D1FY-22'!$C$5%</f>
        <v>216.99472</v>
      </c>
      <c r="D66" s="1648">
        <f>'[35]2021-22'!D65*'D1FY-22'!$C$5%</f>
        <v>209.05271324799998</v>
      </c>
      <c r="E66" s="1648">
        <f>'[35]2021-22'!E65*'D1FY-22'!$C$5%</f>
        <v>108.03584660000001</v>
      </c>
      <c r="F66" s="1648">
        <f>'[35]2021-22'!F65</f>
        <v>273.36666666666667</v>
      </c>
      <c r="G66" s="1648">
        <v>0</v>
      </c>
      <c r="H66" s="1649">
        <f>F66+G66</f>
        <v>273.36666666666667</v>
      </c>
      <c r="I66" s="1650"/>
      <c r="J66" s="1671"/>
      <c r="K66" s="1648"/>
      <c r="L66" s="1648">
        <f>H66*C66/1000</f>
        <v>59.319123290666667</v>
      </c>
      <c r="M66" s="1648">
        <f t="shared" si="11"/>
        <v>108.03584660000001</v>
      </c>
      <c r="N66" s="1648">
        <f>I66+J66+K66+L66</f>
        <v>59.319123290666667</v>
      </c>
      <c r="O66" s="1651">
        <f t="shared" si="12"/>
        <v>167.35496989066667</v>
      </c>
      <c r="P66" s="1648">
        <f t="shared" si="13"/>
        <v>800.53957344305252</v>
      </c>
    </row>
    <row r="67" spans="1:17" x14ac:dyDescent="0.2">
      <c r="A67" s="1646">
        <v>19</v>
      </c>
      <c r="B67" s="1672" t="s">
        <v>1293</v>
      </c>
      <c r="C67" s="1648">
        <f>'[35]2021-22'!C66*'D1FY-22'!$C$5%</f>
        <v>787.64492500000006</v>
      </c>
      <c r="D67" s="1648">
        <f>'[35]2021-22'!D66*'D1FY-22'!$C$5%</f>
        <v>758.81712074500001</v>
      </c>
      <c r="E67" s="1648">
        <f>'[35]2021-22'!E66*'D1FY-22'!$C$5%</f>
        <v>155.78511275</v>
      </c>
      <c r="F67" s="1648">
        <f>'[35]2021-22'!F66</f>
        <v>247.63333333333333</v>
      </c>
      <c r="G67" s="1648">
        <v>0</v>
      </c>
      <c r="H67" s="1649">
        <f>F67+G67</f>
        <v>247.63333333333333</v>
      </c>
      <c r="I67" s="1650"/>
      <c r="J67" s="1671"/>
      <c r="K67" s="1648"/>
      <c r="L67" s="1648">
        <f>H67*C67/1000</f>
        <v>195.04713826083335</v>
      </c>
      <c r="M67" s="1648">
        <f t="shared" si="11"/>
        <v>155.78511275</v>
      </c>
      <c r="N67" s="1648">
        <f>I67+J67+K67+L67</f>
        <v>195.04713826083335</v>
      </c>
      <c r="O67" s="1651">
        <f t="shared" si="12"/>
        <v>350.83225101083337</v>
      </c>
      <c r="P67" s="1648">
        <f t="shared" si="13"/>
        <v>462.34097969005938</v>
      </c>
    </row>
    <row r="68" spans="1:17" x14ac:dyDescent="0.2">
      <c r="A68" s="1646">
        <v>20</v>
      </c>
      <c r="B68" s="1670" t="s">
        <v>1294</v>
      </c>
      <c r="C68" s="1648"/>
      <c r="D68" s="1648"/>
      <c r="E68" s="1648">
        <f>'[35] POC charges'!E14</f>
        <v>1.6010546134439998</v>
      </c>
      <c r="F68" s="1648"/>
      <c r="G68" s="1648"/>
      <c r="H68" s="1649"/>
      <c r="I68" s="1650"/>
      <c r="J68" s="1671"/>
      <c r="K68" s="1650"/>
      <c r="L68" s="1648">
        <f>H68*C68/1000</f>
        <v>0</v>
      </c>
      <c r="M68" s="1648">
        <f t="shared" si="11"/>
        <v>1.6010546134439998</v>
      </c>
      <c r="N68" s="1648">
        <f>I68+J68+K68+L68</f>
        <v>0</v>
      </c>
      <c r="O68" s="1651">
        <f t="shared" si="12"/>
        <v>1.6010546134439998</v>
      </c>
      <c r="P68" s="1648"/>
    </row>
    <row r="69" spans="1:17" x14ac:dyDescent="0.2">
      <c r="A69" s="1646">
        <v>21</v>
      </c>
      <c r="B69" s="1673" t="s">
        <v>1295</v>
      </c>
      <c r="C69" s="1648"/>
      <c r="D69" s="1648"/>
      <c r="E69" s="1648">
        <f>'[35] POC charges'!C101</f>
        <v>1478.9751950604</v>
      </c>
      <c r="F69" s="1648"/>
      <c r="G69" s="1649"/>
      <c r="H69" s="1649"/>
      <c r="I69" s="1650"/>
      <c r="J69" s="1671"/>
      <c r="K69" s="1650"/>
      <c r="L69" s="1648">
        <f>(D69*H69/10)</f>
        <v>0</v>
      </c>
      <c r="M69" s="1648">
        <f t="shared" si="11"/>
        <v>1478.9751950604</v>
      </c>
      <c r="N69" s="1648">
        <f t="shared" si="14"/>
        <v>0</v>
      </c>
      <c r="O69" s="1651">
        <f t="shared" si="12"/>
        <v>1478.9751950604</v>
      </c>
      <c r="P69" s="1648"/>
    </row>
    <row r="70" spans="1:17" s="1676" customFormat="1" ht="12.75" x14ac:dyDescent="0.2">
      <c r="A70" s="1653"/>
      <c r="B70" s="1674" t="s">
        <v>480</v>
      </c>
      <c r="C70" s="1654">
        <f>SUM(C49:C69)</f>
        <v>9460.830051006802</v>
      </c>
      <c r="D70" s="1654">
        <f>SUM(D49:D69)</f>
        <v>9114.5636711399511</v>
      </c>
      <c r="E70" s="1654"/>
      <c r="F70" s="1654">
        <f>SUM(F49:F69)</f>
        <v>5513.8985394210122</v>
      </c>
      <c r="G70" s="1654"/>
      <c r="H70" s="1654">
        <f>SUM(H49:H69)</f>
        <v>5513.8985394210122</v>
      </c>
      <c r="I70" s="1654"/>
      <c r="J70" s="1654"/>
      <c r="K70" s="1654">
        <f>SUM(K49:K69)</f>
        <v>0</v>
      </c>
      <c r="L70" s="1654">
        <f>SUM(L49:L69)</f>
        <v>2737.0873463173812</v>
      </c>
      <c r="M70" s="1654">
        <f>SUM(M49:M69)</f>
        <v>3315.5406632417039</v>
      </c>
      <c r="N70" s="1654">
        <f>SUM(N49:N69)</f>
        <v>2737.0873463173812</v>
      </c>
      <c r="O70" s="1668">
        <f>SUM(O49:O69)</f>
        <v>6052.6280095590846</v>
      </c>
      <c r="P70" s="1654">
        <f>O70/D70*1000</f>
        <v>664.06119129146282</v>
      </c>
      <c r="Q70" s="1675"/>
    </row>
    <row r="71" spans="1:17" x14ac:dyDescent="0.2">
      <c r="A71" s="1646" t="s">
        <v>103</v>
      </c>
      <c r="B71" s="1673" t="s">
        <v>317</v>
      </c>
      <c r="C71" s="1648"/>
      <c r="D71" s="1648"/>
      <c r="E71" s="1648"/>
      <c r="F71" s="1648"/>
      <c r="G71" s="1649"/>
      <c r="H71" s="1649"/>
      <c r="I71" s="1650"/>
      <c r="J71" s="1650"/>
      <c r="K71" s="1650"/>
      <c r="L71" s="1648"/>
      <c r="M71" s="1648"/>
      <c r="N71" s="1648"/>
      <c r="O71" s="1651"/>
      <c r="P71" s="1648"/>
    </row>
    <row r="72" spans="1:17" ht="23.25" customHeight="1" x14ac:dyDescent="0.2">
      <c r="A72" s="1646">
        <v>1</v>
      </c>
      <c r="B72" s="1673" t="s">
        <v>1296</v>
      </c>
      <c r="C72" s="1648"/>
      <c r="D72" s="1648">
        <f>'[35]2021-22'!D71*50%</f>
        <v>2173.0822560000001</v>
      </c>
      <c r="E72" s="1648">
        <f>'[35]2021-22'!E71*50%</f>
        <v>545.73750000000007</v>
      </c>
      <c r="F72" s="1648">
        <f>'[35]2021-22'!F71</f>
        <v>274</v>
      </c>
      <c r="G72" s="1649"/>
      <c r="H72" s="1649">
        <f t="shared" si="5"/>
        <v>274</v>
      </c>
      <c r="I72" s="1650"/>
      <c r="J72" s="1650"/>
      <c r="K72" s="1650"/>
      <c r="L72" s="1648">
        <f>H72*D72/1000</f>
        <v>595.42453814399994</v>
      </c>
      <c r="M72" s="1648">
        <f>E72</f>
        <v>545.73750000000007</v>
      </c>
      <c r="N72" s="1648">
        <f>I72+J72+K72+L72</f>
        <v>595.42453814399994</v>
      </c>
      <c r="O72" s="1651">
        <f>M72+N72</f>
        <v>1141.162038144</v>
      </c>
      <c r="P72" s="1648">
        <f>O72/D72*1000</f>
        <v>525.13522439989958</v>
      </c>
    </row>
    <row r="73" spans="1:17" s="1657" customFormat="1" ht="22.5" customHeight="1" x14ac:dyDescent="0.2">
      <c r="A73" s="1652"/>
      <c r="B73" s="1674" t="s">
        <v>481</v>
      </c>
      <c r="C73" s="1654"/>
      <c r="D73" s="1654">
        <f t="shared" ref="D73:K73" si="15">SUM(D72:D72)</f>
        <v>2173.0822560000001</v>
      </c>
      <c r="E73" s="1654">
        <f t="shared" si="15"/>
        <v>545.73750000000007</v>
      </c>
      <c r="F73" s="1654">
        <f t="shared" si="15"/>
        <v>274</v>
      </c>
      <c r="G73" s="1654"/>
      <c r="H73" s="1654">
        <f t="shared" si="15"/>
        <v>274</v>
      </c>
      <c r="I73" s="1654"/>
      <c r="J73" s="1654"/>
      <c r="K73" s="1654">
        <f t="shared" si="15"/>
        <v>0</v>
      </c>
      <c r="L73" s="1654">
        <f>SUM(L71:L72)</f>
        <v>595.42453814399994</v>
      </c>
      <c r="M73" s="1654">
        <f>SUM(M71:M72)</f>
        <v>545.73750000000007</v>
      </c>
      <c r="N73" s="1654">
        <f>SUM(N71:N72)</f>
        <v>595.42453814399994</v>
      </c>
      <c r="O73" s="1668">
        <f>SUM(O71:O72)</f>
        <v>1141.162038144</v>
      </c>
      <c r="P73" s="1654">
        <f>O73/D73*1000</f>
        <v>525.13522439989958</v>
      </c>
      <c r="Q73" s="1655"/>
    </row>
    <row r="74" spans="1:17" x14ac:dyDescent="0.2">
      <c r="A74" s="1646" t="s">
        <v>482</v>
      </c>
      <c r="B74" s="1673" t="s">
        <v>1297</v>
      </c>
      <c r="C74" s="1648"/>
      <c r="D74" s="1648"/>
      <c r="E74" s="1648"/>
      <c r="F74" s="1648"/>
      <c r="G74" s="1649"/>
      <c r="H74" s="1649"/>
      <c r="I74" s="1650"/>
      <c r="J74" s="1650"/>
      <c r="K74" s="1650"/>
      <c r="L74" s="1648"/>
      <c r="M74" s="1648"/>
      <c r="N74" s="1648"/>
      <c r="O74" s="1651"/>
      <c r="P74" s="1648"/>
    </row>
    <row r="75" spans="1:17" x14ac:dyDescent="0.2">
      <c r="A75" s="1646"/>
      <c r="B75" s="1659" t="s">
        <v>1298</v>
      </c>
      <c r="C75" s="1648"/>
      <c r="D75" s="1648"/>
      <c r="E75" s="1648"/>
      <c r="F75" s="1648"/>
      <c r="G75" s="1649"/>
      <c r="H75" s="1649"/>
      <c r="I75" s="1650"/>
      <c r="J75" s="1650"/>
      <c r="K75" s="1650"/>
      <c r="L75" s="1648"/>
      <c r="M75" s="1648"/>
      <c r="N75" s="1648"/>
      <c r="O75" s="1651"/>
      <c r="P75" s="1648"/>
    </row>
    <row r="76" spans="1:17" x14ac:dyDescent="0.2">
      <c r="A76" s="1646">
        <v>1</v>
      </c>
      <c r="B76" s="1647" t="s">
        <v>1299</v>
      </c>
      <c r="C76" s="1648"/>
      <c r="D76" s="1648"/>
      <c r="E76" s="1648"/>
      <c r="F76" s="1648"/>
      <c r="G76" s="1649"/>
      <c r="H76" s="1649"/>
      <c r="I76" s="1650"/>
      <c r="J76" s="1650"/>
      <c r="K76" s="1650"/>
      <c r="L76" s="1648"/>
      <c r="M76" s="1648"/>
      <c r="N76" s="1648"/>
      <c r="O76" s="1651"/>
      <c r="P76" s="1648"/>
    </row>
    <row r="77" spans="1:17" x14ac:dyDescent="0.2">
      <c r="A77" s="1646">
        <v>2</v>
      </c>
      <c r="B77" s="1647" t="s">
        <v>1300</v>
      </c>
      <c r="C77" s="1648"/>
      <c r="D77" s="1648">
        <f>'[35]Existing NCE &amp; New'!B8</f>
        <v>73.94</v>
      </c>
      <c r="E77" s="1648"/>
      <c r="F77" s="1648">
        <f>'[35]Existing NCE &amp; New'!D8</f>
        <v>576</v>
      </c>
      <c r="G77" s="1649"/>
      <c r="H77" s="1649">
        <f t="shared" si="5"/>
        <v>576</v>
      </c>
      <c r="I77" s="1650"/>
      <c r="J77" s="1650"/>
      <c r="K77" s="1650"/>
      <c r="L77" s="1648">
        <f t="shared" ref="L77:L83" si="16">H77*D77/1000</f>
        <v>42.589440000000003</v>
      </c>
      <c r="M77" s="1648">
        <f t="shared" ref="M77:M83" si="17">E77</f>
        <v>0</v>
      </c>
      <c r="N77" s="1648">
        <f t="shared" ref="N77:N83" si="18">I77+J77+K77+L77</f>
        <v>42.589440000000003</v>
      </c>
      <c r="O77" s="1651">
        <f t="shared" ref="O77:O83" si="19">M77+N77</f>
        <v>42.589440000000003</v>
      </c>
      <c r="P77" s="1648">
        <f t="shared" ref="P77:P89" si="20">O77/D77*1000</f>
        <v>576.00000000000011</v>
      </c>
    </row>
    <row r="78" spans="1:17" x14ac:dyDescent="0.2">
      <c r="A78" s="1646">
        <v>3</v>
      </c>
      <c r="B78" s="1647" t="s">
        <v>1301</v>
      </c>
      <c r="C78" s="1648"/>
      <c r="D78" s="1648">
        <f>'[35]Existing NCE &amp; New'!B9</f>
        <v>513.04200000000003</v>
      </c>
      <c r="E78" s="1648"/>
      <c r="F78" s="1648">
        <f>'[35]Existing NCE &amp; New'!D9</f>
        <v>306</v>
      </c>
      <c r="G78" s="1649"/>
      <c r="H78" s="1649">
        <f t="shared" si="5"/>
        <v>306</v>
      </c>
      <c r="I78" s="1650"/>
      <c r="J78" s="1650"/>
      <c r="K78" s="1650"/>
      <c r="L78" s="1648">
        <f t="shared" si="16"/>
        <v>156.99085200000002</v>
      </c>
      <c r="M78" s="1648">
        <f t="shared" si="17"/>
        <v>0</v>
      </c>
      <c r="N78" s="1648">
        <f t="shared" si="18"/>
        <v>156.99085200000002</v>
      </c>
      <c r="O78" s="1651">
        <f t="shared" si="19"/>
        <v>156.99085200000002</v>
      </c>
      <c r="P78" s="1648">
        <f t="shared" si="20"/>
        <v>306</v>
      </c>
    </row>
    <row r="79" spans="1:17" x14ac:dyDescent="0.2">
      <c r="A79" s="1646">
        <v>4</v>
      </c>
      <c r="B79" s="1647" t="s">
        <v>1302</v>
      </c>
      <c r="C79" s="1648"/>
      <c r="D79" s="1648">
        <f>'[35]Existing NCE &amp; New'!B10</f>
        <v>2353.6039999999998</v>
      </c>
      <c r="E79" s="1648"/>
      <c r="F79" s="1648">
        <f>'[35]Existing NCE &amp; New'!D10</f>
        <v>356</v>
      </c>
      <c r="G79" s="1649"/>
      <c r="H79" s="1649">
        <f t="shared" si="5"/>
        <v>356</v>
      </c>
      <c r="I79" s="1650"/>
      <c r="J79" s="1650"/>
      <c r="K79" s="1650"/>
      <c r="L79" s="1648">
        <f t="shared" si="16"/>
        <v>837.88302399999998</v>
      </c>
      <c r="M79" s="1648">
        <f t="shared" si="17"/>
        <v>0</v>
      </c>
      <c r="N79" s="1648">
        <f t="shared" si="18"/>
        <v>837.88302399999998</v>
      </c>
      <c r="O79" s="1651">
        <f t="shared" si="19"/>
        <v>837.88302399999998</v>
      </c>
      <c r="P79" s="1648">
        <f t="shared" si="20"/>
        <v>356.00000000000006</v>
      </c>
    </row>
    <row r="80" spans="1:17" x14ac:dyDescent="0.2">
      <c r="A80" s="1646">
        <v>5</v>
      </c>
      <c r="B80" s="1647" t="s">
        <v>1303</v>
      </c>
      <c r="C80" s="1648"/>
      <c r="D80" s="1648">
        <f>'[35]Existing NCE &amp; New'!B14</f>
        <v>6.74</v>
      </c>
      <c r="E80" s="1648"/>
      <c r="F80" s="1648">
        <f>'[35]Existing NCE &amp; New'!D14</f>
        <v>483</v>
      </c>
      <c r="G80" s="1649"/>
      <c r="H80" s="1649">
        <f t="shared" si="5"/>
        <v>483</v>
      </c>
      <c r="I80" s="1650"/>
      <c r="J80" s="1650"/>
      <c r="K80" s="1650"/>
      <c r="L80" s="1648">
        <f t="shared" si="16"/>
        <v>3.25542</v>
      </c>
      <c r="M80" s="1648">
        <f t="shared" si="17"/>
        <v>0</v>
      </c>
      <c r="N80" s="1648">
        <f t="shared" si="18"/>
        <v>3.25542</v>
      </c>
      <c r="O80" s="1651">
        <f t="shared" si="19"/>
        <v>3.25542</v>
      </c>
      <c r="P80" s="1648">
        <f t="shared" si="20"/>
        <v>483</v>
      </c>
    </row>
    <row r="81" spans="1:18" x14ac:dyDescent="0.2">
      <c r="A81" s="1646">
        <v>6</v>
      </c>
      <c r="B81" s="1647" t="s">
        <v>1304</v>
      </c>
      <c r="C81" s="1648"/>
      <c r="D81" s="1648">
        <f>'[35]Existing NCE &amp; New'!B12</f>
        <v>4456.009</v>
      </c>
      <c r="E81" s="1648"/>
      <c r="F81" s="1648">
        <f>'[35]Existing NCE &amp; New'!D12</f>
        <v>303</v>
      </c>
      <c r="G81" s="1649"/>
      <c r="H81" s="1649">
        <f t="shared" si="5"/>
        <v>303</v>
      </c>
      <c r="I81" s="1650"/>
      <c r="J81" s="1650"/>
      <c r="K81" s="1650"/>
      <c r="L81" s="1648">
        <f t="shared" si="16"/>
        <v>1350.1707269999999</v>
      </c>
      <c r="M81" s="1648">
        <f t="shared" si="17"/>
        <v>0</v>
      </c>
      <c r="N81" s="1648">
        <f t="shared" si="18"/>
        <v>1350.1707269999999</v>
      </c>
      <c r="O81" s="1651">
        <f t="shared" si="19"/>
        <v>1350.1707269999999</v>
      </c>
      <c r="P81" s="1648">
        <f t="shared" si="20"/>
        <v>303</v>
      </c>
    </row>
    <row r="82" spans="1:18" x14ac:dyDescent="0.2">
      <c r="A82" s="1646">
        <v>7</v>
      </c>
      <c r="B82" s="1673" t="s">
        <v>1305</v>
      </c>
      <c r="C82" s="1648"/>
      <c r="D82" s="1648">
        <f>'[35]Existing NCE &amp; New'!B13</f>
        <v>90.67</v>
      </c>
      <c r="E82" s="1648"/>
      <c r="F82" s="1648">
        <f>L82/D82*1000</f>
        <v>492.33484063085916</v>
      </c>
      <c r="G82" s="1649"/>
      <c r="H82" s="1649">
        <f t="shared" si="5"/>
        <v>492.33484063085916</v>
      </c>
      <c r="I82" s="1650"/>
      <c r="J82" s="1650"/>
      <c r="K82" s="1650"/>
      <c r="L82" s="1648">
        <f>'[35]Existing NCE &amp; New'!C13</f>
        <v>44.64</v>
      </c>
      <c r="M82" s="1648"/>
      <c r="N82" s="1648">
        <f t="shared" si="18"/>
        <v>44.64</v>
      </c>
      <c r="O82" s="1651">
        <f>M82+N82</f>
        <v>44.64</v>
      </c>
      <c r="P82" s="1648">
        <f>O82/D82*1000</f>
        <v>492.33484063085916</v>
      </c>
    </row>
    <row r="83" spans="1:18" x14ac:dyDescent="0.2">
      <c r="A83" s="1646">
        <v>8</v>
      </c>
      <c r="B83" s="1673" t="s">
        <v>817</v>
      </c>
      <c r="C83" s="1648"/>
      <c r="D83" s="1648">
        <f>'[35]Existing NCE &amp; New'!B15</f>
        <v>3.97</v>
      </c>
      <c r="E83" s="1648"/>
      <c r="F83" s="1648">
        <f>'[35]Existing NCE &amp; New'!D15</f>
        <v>600</v>
      </c>
      <c r="G83" s="1649"/>
      <c r="H83" s="1649">
        <f t="shared" si="5"/>
        <v>600</v>
      </c>
      <c r="I83" s="1650"/>
      <c r="J83" s="1650"/>
      <c r="K83" s="1650"/>
      <c r="L83" s="1648">
        <f t="shared" si="16"/>
        <v>2.3820000000000001</v>
      </c>
      <c r="M83" s="1648">
        <f t="shared" si="17"/>
        <v>0</v>
      </c>
      <c r="N83" s="1648">
        <f t="shared" si="18"/>
        <v>2.3820000000000001</v>
      </c>
      <c r="O83" s="1651">
        <f t="shared" si="19"/>
        <v>2.3820000000000001</v>
      </c>
      <c r="P83" s="1648">
        <f t="shared" si="20"/>
        <v>600</v>
      </c>
    </row>
    <row r="84" spans="1:18" x14ac:dyDescent="0.2">
      <c r="A84" s="1646">
        <v>9</v>
      </c>
      <c r="B84" s="1673" t="s">
        <v>1306</v>
      </c>
      <c r="C84" s="1648"/>
      <c r="D84" s="1648">
        <f>'[35]Existing NCE &amp; New'!B17</f>
        <v>200.92849240074989</v>
      </c>
      <c r="E84" s="1648"/>
      <c r="F84" s="1648">
        <f>'[35]Existing NCE &amp; New'!D17</f>
        <v>495.6400000000001</v>
      </c>
      <c r="G84" s="1649"/>
      <c r="H84" s="1649">
        <f t="shared" si="5"/>
        <v>495.6400000000001</v>
      </c>
      <c r="I84" s="1650"/>
      <c r="J84" s="1650"/>
      <c r="K84" s="1650"/>
      <c r="L84" s="1648">
        <f>H84*D84/1000</f>
        <v>99.58819797350769</v>
      </c>
      <c r="M84" s="1648">
        <f>E84</f>
        <v>0</v>
      </c>
      <c r="N84" s="1648">
        <f>I84+J84+K84+L84</f>
        <v>99.58819797350769</v>
      </c>
      <c r="O84" s="1651">
        <f>M84+N84</f>
        <v>99.58819797350769</v>
      </c>
      <c r="P84" s="1648">
        <f t="shared" si="20"/>
        <v>495.6400000000001</v>
      </c>
    </row>
    <row r="85" spans="1:18" x14ac:dyDescent="0.2">
      <c r="A85" s="1646">
        <v>10</v>
      </c>
      <c r="B85" s="1673" t="s">
        <v>1307</v>
      </c>
      <c r="C85" s="1648"/>
      <c r="D85" s="1648">
        <f>'[35]Existing NCE &amp; New'!B18</f>
        <v>56.205281430000007</v>
      </c>
      <c r="E85" s="1648"/>
      <c r="F85" s="1648">
        <f>'[35]Existing NCE &amp; New'!D18</f>
        <v>1052.6700000000003</v>
      </c>
      <c r="G85" s="1649"/>
      <c r="H85" s="1649">
        <f t="shared" si="5"/>
        <v>1052.6700000000003</v>
      </c>
      <c r="I85" s="1650"/>
      <c r="J85" s="1650"/>
      <c r="K85" s="1650"/>
      <c r="L85" s="1648">
        <f>H85*D85/1000</f>
        <v>59.165613602918121</v>
      </c>
      <c r="M85" s="1648">
        <f>E85</f>
        <v>0</v>
      </c>
      <c r="N85" s="1648">
        <f>I85+J85+K85+L85</f>
        <v>59.165613602918121</v>
      </c>
      <c r="O85" s="1651">
        <f>M85+N85</f>
        <v>59.165613602918121</v>
      </c>
      <c r="P85" s="1648">
        <f t="shared" si="20"/>
        <v>1052.6700000000003</v>
      </c>
    </row>
    <row r="86" spans="1:18" x14ac:dyDescent="0.2">
      <c r="A86" s="1646">
        <v>11</v>
      </c>
      <c r="B86" s="1647" t="s">
        <v>1308</v>
      </c>
      <c r="C86" s="1648"/>
      <c r="D86" s="1648">
        <f>'[35]Existing NCE &amp; New'!B11</f>
        <v>42.1</v>
      </c>
      <c r="E86" s="1648"/>
      <c r="F86" s="1648">
        <f>L86/D86*1000</f>
        <v>119.47743467933492</v>
      </c>
      <c r="G86" s="1649"/>
      <c r="H86" s="1649">
        <f t="shared" si="5"/>
        <v>119.47743467933492</v>
      </c>
      <c r="I86" s="1650"/>
      <c r="J86" s="1650"/>
      <c r="K86" s="1650"/>
      <c r="L86" s="1648">
        <f>'[35]Existing NCE &amp; New'!C11</f>
        <v>5.03</v>
      </c>
      <c r="M86" s="1648">
        <f>E86</f>
        <v>0</v>
      </c>
      <c r="N86" s="1648">
        <f>I86+J86+K86+L86</f>
        <v>5.03</v>
      </c>
      <c r="O86" s="1651">
        <f>M86+N86</f>
        <v>5.03</v>
      </c>
      <c r="P86" s="1648">
        <f t="shared" si="20"/>
        <v>119.47743467933492</v>
      </c>
    </row>
    <row r="87" spans="1:18" x14ac:dyDescent="0.2">
      <c r="A87" s="1646">
        <v>12</v>
      </c>
      <c r="B87" s="1673" t="s">
        <v>1309</v>
      </c>
      <c r="C87" s="1648"/>
      <c r="D87" s="1648">
        <f>'[35]Existing NCE &amp; New'!B22</f>
        <v>935.10497225075994</v>
      </c>
      <c r="E87" s="1648"/>
      <c r="F87" s="1648">
        <f>'[35]Existing NCE &amp; New'!D22</f>
        <v>301</v>
      </c>
      <c r="G87" s="1649"/>
      <c r="H87" s="1649">
        <f t="shared" si="5"/>
        <v>301</v>
      </c>
      <c r="I87" s="1650"/>
      <c r="J87" s="1650"/>
      <c r="K87" s="1650"/>
      <c r="L87" s="1648">
        <f>H87*D87/1000</f>
        <v>281.46659664747875</v>
      </c>
      <c r="M87" s="1648">
        <f>E87</f>
        <v>0</v>
      </c>
      <c r="N87" s="1648">
        <f>I87+J87+K87+L87</f>
        <v>281.46659664747875</v>
      </c>
      <c r="O87" s="1651">
        <f>M87+N87</f>
        <v>281.46659664747875</v>
      </c>
      <c r="P87" s="1648">
        <f t="shared" si="20"/>
        <v>301</v>
      </c>
    </row>
    <row r="88" spans="1:18" x14ac:dyDescent="0.2">
      <c r="A88" s="1646">
        <v>13</v>
      </c>
      <c r="B88" s="1673" t="s">
        <v>1310</v>
      </c>
      <c r="C88" s="1648"/>
      <c r="D88" s="1648">
        <f>'[35]Existing NCE &amp; New'!B21</f>
        <v>640.55080050000015</v>
      </c>
      <c r="E88" s="1648"/>
      <c r="F88" s="1648">
        <f>'[35]Existing NCE &amp; New'!D21</f>
        <v>480.0834258524979</v>
      </c>
      <c r="G88" s="1649"/>
      <c r="H88" s="1649">
        <f t="shared" si="5"/>
        <v>480.0834258524979</v>
      </c>
      <c r="I88" s="1650"/>
      <c r="J88" s="1650"/>
      <c r="K88" s="1650"/>
      <c r="L88" s="1648">
        <f>H88*D88/1000</f>
        <v>307.51782273660001</v>
      </c>
      <c r="M88" s="1648">
        <f>E88</f>
        <v>0</v>
      </c>
      <c r="N88" s="1648">
        <f>I88+J88+K88+L88</f>
        <v>307.51782273660001</v>
      </c>
      <c r="O88" s="1651">
        <f>M88+N88</f>
        <v>307.51782273660001</v>
      </c>
      <c r="P88" s="1648">
        <f t="shared" si="20"/>
        <v>480.0834258524979</v>
      </c>
    </row>
    <row r="89" spans="1:18" s="1657" customFormat="1" x14ac:dyDescent="0.2">
      <c r="A89" s="1652"/>
      <c r="B89" s="1674" t="s">
        <v>1311</v>
      </c>
      <c r="C89" s="1654"/>
      <c r="D89" s="1654">
        <f>SUM(D77:D88)</f>
        <v>9372.8645465815098</v>
      </c>
      <c r="E89" s="1654">
        <f t="shared" ref="E89:O89" si="21">SUM(E77:E88)</f>
        <v>0</v>
      </c>
      <c r="F89" s="1654">
        <f t="shared" si="21"/>
        <v>5565.2057011626921</v>
      </c>
      <c r="G89" s="1654">
        <f t="shared" si="21"/>
        <v>0</v>
      </c>
      <c r="H89" s="1654">
        <f t="shared" si="21"/>
        <v>5565.2057011626921</v>
      </c>
      <c r="I89" s="1654">
        <f t="shared" si="21"/>
        <v>0</v>
      </c>
      <c r="J89" s="1654">
        <f t="shared" si="21"/>
        <v>0</v>
      </c>
      <c r="K89" s="1654">
        <f t="shared" si="21"/>
        <v>0</v>
      </c>
      <c r="L89" s="1654">
        <f t="shared" si="21"/>
        <v>3190.6796939605047</v>
      </c>
      <c r="M89" s="1654">
        <f t="shared" si="21"/>
        <v>0</v>
      </c>
      <c r="N89" s="1654">
        <f t="shared" si="21"/>
        <v>3190.6796939605047</v>
      </c>
      <c r="O89" s="1654">
        <f t="shared" si="21"/>
        <v>3190.6796939605047</v>
      </c>
      <c r="P89" s="1648">
        <f t="shared" si="20"/>
        <v>340.41670805156525</v>
      </c>
      <c r="Q89" s="1677"/>
    </row>
    <row r="90" spans="1:18" x14ac:dyDescent="0.2">
      <c r="A90" s="1646"/>
      <c r="B90" s="1678" t="s">
        <v>1312</v>
      </c>
      <c r="C90" s="1648"/>
      <c r="D90" s="1648"/>
      <c r="E90" s="1648"/>
      <c r="F90" s="1648"/>
      <c r="G90" s="1649"/>
      <c r="H90" s="1649"/>
      <c r="I90" s="1650"/>
      <c r="J90" s="1650"/>
      <c r="K90" s="1650"/>
      <c r="L90" s="1648"/>
      <c r="M90" s="1648"/>
      <c r="N90" s="1648"/>
      <c r="O90" s="1651"/>
      <c r="P90" s="1648"/>
    </row>
    <row r="91" spans="1:18" x14ac:dyDescent="0.2">
      <c r="A91" s="1646">
        <v>1</v>
      </c>
      <c r="B91" s="1647" t="s">
        <v>1299</v>
      </c>
      <c r="C91" s="1648"/>
      <c r="D91" s="1648"/>
      <c r="E91" s="1648"/>
      <c r="F91" s="1648"/>
      <c r="G91" s="1649"/>
      <c r="H91" s="1648"/>
      <c r="I91" s="1650"/>
      <c r="J91" s="1650"/>
      <c r="K91" s="1650"/>
      <c r="L91" s="1648"/>
      <c r="M91" s="1648"/>
      <c r="N91" s="1648"/>
      <c r="O91" s="1651"/>
      <c r="P91" s="1648"/>
    </row>
    <row r="92" spans="1:18" x14ac:dyDescent="0.2">
      <c r="A92" s="1646">
        <v>2</v>
      </c>
      <c r="B92" s="1647" t="s">
        <v>1300</v>
      </c>
      <c r="C92" s="1648"/>
      <c r="D92" s="1648"/>
      <c r="E92" s="1648"/>
      <c r="F92" s="1648"/>
      <c r="G92" s="1649"/>
      <c r="H92" s="1648"/>
      <c r="I92" s="1650"/>
      <c r="J92" s="1650"/>
      <c r="K92" s="1650"/>
      <c r="L92" s="1648"/>
      <c r="M92" s="1648"/>
      <c r="N92" s="1648"/>
      <c r="O92" s="1651"/>
      <c r="P92" s="1648"/>
    </row>
    <row r="93" spans="1:18" x14ac:dyDescent="0.2">
      <c r="A93" s="1646">
        <v>3</v>
      </c>
      <c r="B93" s="1647" t="s">
        <v>1301</v>
      </c>
      <c r="C93" s="1648"/>
      <c r="D93" s="1648"/>
      <c r="E93" s="1648"/>
      <c r="F93" s="1648"/>
      <c r="G93" s="1649"/>
      <c r="H93" s="1648"/>
      <c r="I93" s="1650"/>
      <c r="J93" s="1650"/>
      <c r="K93" s="1650"/>
      <c r="L93" s="1648"/>
      <c r="M93" s="1648"/>
      <c r="N93" s="1648"/>
      <c r="O93" s="1651"/>
      <c r="P93" s="1648"/>
    </row>
    <row r="94" spans="1:18" x14ac:dyDescent="0.2">
      <c r="A94" s="1646">
        <v>4</v>
      </c>
      <c r="B94" s="1647" t="s">
        <v>1302</v>
      </c>
      <c r="C94" s="1648"/>
      <c r="D94" s="1648">
        <f>'[35]Existing NCE &amp; New'!B28</f>
        <v>0</v>
      </c>
      <c r="E94" s="1648"/>
      <c r="F94" s="1648">
        <f>'[35]Existing NCE &amp; New'!D28</f>
        <v>0</v>
      </c>
      <c r="G94" s="1649"/>
      <c r="H94" s="1648">
        <f>F94</f>
        <v>0</v>
      </c>
      <c r="I94" s="1650"/>
      <c r="J94" s="1650"/>
      <c r="K94" s="1650"/>
      <c r="L94" s="1648">
        <f>H94*D94/1000</f>
        <v>0</v>
      </c>
      <c r="M94" s="1648">
        <f>E94</f>
        <v>0</v>
      </c>
      <c r="N94" s="1648">
        <f>I94+J94+K94+L94</f>
        <v>0</v>
      </c>
      <c r="O94" s="1651">
        <f>M94+N94</f>
        <v>0</v>
      </c>
      <c r="P94" s="1648" t="e">
        <f t="shared" ref="P94:P100" si="22">O94/D94*1000</f>
        <v>#DIV/0!</v>
      </c>
      <c r="R94" s="1648"/>
    </row>
    <row r="95" spans="1:18" x14ac:dyDescent="0.2">
      <c r="A95" s="1646">
        <v>5</v>
      </c>
      <c r="B95" s="1673" t="s">
        <v>1313</v>
      </c>
      <c r="C95" s="1648"/>
      <c r="D95" s="1648">
        <f>'[35]Existing NCE &amp; New'!B30</f>
        <v>0</v>
      </c>
      <c r="E95" s="1648"/>
      <c r="F95" s="1648">
        <f>'[35]Existing NCE &amp; New'!D30</f>
        <v>0</v>
      </c>
      <c r="G95" s="1648"/>
      <c r="H95" s="1648">
        <f>F95</f>
        <v>0</v>
      </c>
      <c r="I95" s="1650"/>
      <c r="J95" s="1650"/>
      <c r="K95" s="1650"/>
      <c r="L95" s="1648">
        <f>H95*D95/1000</f>
        <v>0</v>
      </c>
      <c r="M95" s="1648">
        <f>E95</f>
        <v>0</v>
      </c>
      <c r="N95" s="1648">
        <f>I95+J95+K95+L95</f>
        <v>0</v>
      </c>
      <c r="O95" s="1651">
        <f>M95+N95</f>
        <v>0</v>
      </c>
      <c r="P95" s="1648" t="e">
        <f t="shared" si="22"/>
        <v>#DIV/0!</v>
      </c>
      <c r="R95" s="1648"/>
    </row>
    <row r="96" spans="1:18" x14ac:dyDescent="0.2">
      <c r="A96" s="1646">
        <v>6</v>
      </c>
      <c r="B96" s="1673" t="s">
        <v>1314</v>
      </c>
      <c r="C96" s="1648"/>
      <c r="D96" s="1648"/>
      <c r="E96" s="1648"/>
      <c r="F96" s="1648"/>
      <c r="G96" s="1649"/>
      <c r="H96" s="1648"/>
      <c r="I96" s="1650"/>
      <c r="J96" s="1650"/>
      <c r="K96" s="1650"/>
      <c r="L96" s="1648">
        <f>H96*D96/1000</f>
        <v>0</v>
      </c>
      <c r="M96" s="1648">
        <f>E96</f>
        <v>0</v>
      </c>
      <c r="N96" s="1648">
        <f>I96+J96+K96+L96</f>
        <v>0</v>
      </c>
      <c r="O96" s="1651">
        <f>M96+N96</f>
        <v>0</v>
      </c>
      <c r="P96" s="1648" t="e">
        <f t="shared" si="22"/>
        <v>#DIV/0!</v>
      </c>
      <c r="R96" s="1648"/>
    </row>
    <row r="97" spans="1:19" x14ac:dyDescent="0.2">
      <c r="A97" s="1646">
        <v>7</v>
      </c>
      <c r="B97" s="1673" t="s">
        <v>1315</v>
      </c>
      <c r="C97" s="1648"/>
      <c r="D97" s="1648"/>
      <c r="E97" s="1648"/>
      <c r="F97" s="1648"/>
      <c r="G97" s="1649"/>
      <c r="H97" s="1648"/>
      <c r="I97" s="1650"/>
      <c r="J97" s="1650"/>
      <c r="K97" s="1650"/>
      <c r="L97" s="1648">
        <f>H97*D97/1000</f>
        <v>0</v>
      </c>
      <c r="M97" s="1648">
        <f>E97</f>
        <v>0</v>
      </c>
      <c r="N97" s="1648">
        <f>I97+J97+K97+L97</f>
        <v>0</v>
      </c>
      <c r="O97" s="1651">
        <f>M97+N97</f>
        <v>0</v>
      </c>
      <c r="P97" s="1648" t="e">
        <f>O97/D97*1000</f>
        <v>#DIV/0!</v>
      </c>
      <c r="R97" s="1648"/>
      <c r="S97" s="1679">
        <f>D85+D81+D83+D88+D99</f>
        <v>5156.73508193</v>
      </c>
    </row>
    <row r="98" spans="1:19" x14ac:dyDescent="0.2">
      <c r="A98" s="1646">
        <v>8</v>
      </c>
      <c r="B98" s="1673" t="s">
        <v>1316</v>
      </c>
      <c r="C98" s="1648"/>
      <c r="D98" s="1648">
        <f>'[35]Existing NCE &amp; New'!B31+'[35]Existing NCE &amp; New'!B32</f>
        <v>0</v>
      </c>
      <c r="E98" s="1648"/>
      <c r="F98" s="1648" t="e">
        <f>L98/D98*1000</f>
        <v>#DIV/0!</v>
      </c>
      <c r="G98" s="1649"/>
      <c r="H98" s="1648" t="e">
        <f>F98</f>
        <v>#DIV/0!</v>
      </c>
      <c r="I98" s="1650"/>
      <c r="J98" s="1650"/>
      <c r="K98" s="1650"/>
      <c r="L98" s="1648">
        <f>'[35]Existing NCE &amp; New'!C31+'[35]Existing NCE &amp; New'!C32</f>
        <v>0</v>
      </c>
      <c r="M98" s="1648">
        <f>E98</f>
        <v>0</v>
      </c>
      <c r="N98" s="1648">
        <f>I98+J98+K98+L98</f>
        <v>0</v>
      </c>
      <c r="O98" s="1651">
        <f>M98+N98</f>
        <v>0</v>
      </c>
      <c r="P98" s="1648" t="e">
        <f>O98/D98*1000</f>
        <v>#DIV/0!</v>
      </c>
      <c r="R98" s="1648"/>
    </row>
    <row r="99" spans="1:19" s="1657" customFormat="1" ht="15" customHeight="1" x14ac:dyDescent="0.2">
      <c r="A99" s="1667"/>
      <c r="B99" s="1674" t="s">
        <v>1317</v>
      </c>
      <c r="C99" s="1654"/>
      <c r="D99" s="1654">
        <f>SUM(D91:D98)</f>
        <v>0</v>
      </c>
      <c r="E99" s="1654"/>
      <c r="F99" s="1654" t="e">
        <f t="shared" ref="F99:O99" si="23">SUM(F91:F98)</f>
        <v>#DIV/0!</v>
      </c>
      <c r="G99" s="1654">
        <f t="shared" si="23"/>
        <v>0</v>
      </c>
      <c r="H99" s="1654" t="e">
        <f>SUM(H91:H98)</f>
        <v>#DIV/0!</v>
      </c>
      <c r="I99" s="1654">
        <f t="shared" si="23"/>
        <v>0</v>
      </c>
      <c r="J99" s="1654">
        <f t="shared" si="23"/>
        <v>0</v>
      </c>
      <c r="K99" s="1654">
        <f t="shared" si="23"/>
        <v>0</v>
      </c>
      <c r="L99" s="1654">
        <f t="shared" si="23"/>
        <v>0</v>
      </c>
      <c r="M99" s="1654">
        <f t="shared" si="23"/>
        <v>0</v>
      </c>
      <c r="N99" s="1654">
        <f t="shared" si="23"/>
        <v>0</v>
      </c>
      <c r="O99" s="1668">
        <f t="shared" si="23"/>
        <v>0</v>
      </c>
      <c r="P99" s="1654" t="e">
        <f t="shared" si="22"/>
        <v>#DIV/0!</v>
      </c>
      <c r="Q99" s="1680"/>
      <c r="R99" s="1680"/>
    </row>
    <row r="100" spans="1:19" s="1657" customFormat="1" ht="12.75" x14ac:dyDescent="0.2">
      <c r="A100" s="1667"/>
      <c r="B100" s="1674" t="s">
        <v>1318</v>
      </c>
      <c r="C100" s="1654"/>
      <c r="D100" s="1654">
        <f>D89+D99</f>
        <v>9372.8645465815098</v>
      </c>
      <c r="E100" s="1654">
        <f>E89+E99</f>
        <v>0</v>
      </c>
      <c r="F100" s="1654" t="e">
        <f t="shared" ref="F100:O100" si="24">F99+F89</f>
        <v>#DIV/0!</v>
      </c>
      <c r="G100" s="1654">
        <f t="shared" si="24"/>
        <v>0</v>
      </c>
      <c r="H100" s="1654" t="e">
        <f t="shared" si="24"/>
        <v>#DIV/0!</v>
      </c>
      <c r="I100" s="1654">
        <f t="shared" si="24"/>
        <v>0</v>
      </c>
      <c r="J100" s="1654">
        <f t="shared" si="24"/>
        <v>0</v>
      </c>
      <c r="K100" s="1654">
        <f t="shared" si="24"/>
        <v>0</v>
      </c>
      <c r="L100" s="1654">
        <f t="shared" si="24"/>
        <v>3190.6796939605047</v>
      </c>
      <c r="M100" s="1654">
        <f t="shared" si="24"/>
        <v>0</v>
      </c>
      <c r="N100" s="1654">
        <f t="shared" si="24"/>
        <v>3190.6796939605047</v>
      </c>
      <c r="O100" s="1668">
        <f t="shared" si="24"/>
        <v>3190.6796939605047</v>
      </c>
      <c r="P100" s="1654">
        <f t="shared" si="22"/>
        <v>340.41670805156525</v>
      </c>
      <c r="Q100" s="1681"/>
      <c r="R100" s="1681"/>
    </row>
    <row r="101" spans="1:19" x14ac:dyDescent="0.2">
      <c r="A101" s="1646" t="s">
        <v>579</v>
      </c>
      <c r="B101" s="1673" t="s">
        <v>524</v>
      </c>
      <c r="C101" s="1648"/>
      <c r="D101" s="1648"/>
      <c r="E101" s="1648"/>
      <c r="F101" s="1648"/>
      <c r="G101" s="1649"/>
      <c r="H101" s="1649"/>
      <c r="I101" s="1650"/>
      <c r="J101" s="1650"/>
      <c r="K101" s="1650"/>
      <c r="L101" s="1648"/>
      <c r="M101" s="1648"/>
      <c r="N101" s="1648"/>
      <c r="O101" s="1651"/>
      <c r="P101" s="1648"/>
      <c r="R101" s="1628"/>
    </row>
    <row r="102" spans="1:19" x14ac:dyDescent="0.2">
      <c r="A102" s="1682">
        <v>1</v>
      </c>
      <c r="B102" s="1673" t="s">
        <v>1319</v>
      </c>
      <c r="C102" s="1648"/>
      <c r="D102" s="1648">
        <f>'[35]2021-22'!D101*49.788%</f>
        <v>16.165098136799998</v>
      </c>
      <c r="E102" s="1648">
        <f>'[35]2021-22'!E101*49.788%</f>
        <v>2.251015056</v>
      </c>
      <c r="F102" s="1648">
        <f>'[35]2021-22'!F101*'D1FY-22'!$C$5%</f>
        <v>0</v>
      </c>
      <c r="G102" s="1649"/>
      <c r="H102" s="1649">
        <f>F102+G102</f>
        <v>0</v>
      </c>
      <c r="I102" s="1650"/>
      <c r="J102" s="1650"/>
      <c r="K102" s="1650"/>
      <c r="L102" s="1648">
        <f>H102*D102/1000</f>
        <v>0</v>
      </c>
      <c r="M102" s="1648">
        <f>E102</f>
        <v>2.251015056</v>
      </c>
      <c r="N102" s="1648">
        <f>I102+J102+K102+L102</f>
        <v>0</v>
      </c>
      <c r="O102" s="1651">
        <f>M102+N102</f>
        <v>2.251015056</v>
      </c>
      <c r="P102" s="1648">
        <f t="shared" ref="P102:P108" si="25">O102/D102*1000</f>
        <v>139.25155523031086</v>
      </c>
      <c r="R102" s="1628"/>
    </row>
    <row r="103" spans="1:19" x14ac:dyDescent="0.2">
      <c r="A103" s="1646">
        <v>2</v>
      </c>
      <c r="B103" s="1673" t="s">
        <v>538</v>
      </c>
      <c r="C103" s="1648"/>
      <c r="D103" s="1648">
        <f>'[35]2021-22'!D102*49.788%</f>
        <v>78.019787520000008</v>
      </c>
      <c r="E103" s="1648">
        <f>'[35]2021-22'!E102*49.788%</f>
        <v>29.203151400000003</v>
      </c>
      <c r="F103" s="1648">
        <f>'[35]2021-22'!F102</f>
        <v>0</v>
      </c>
      <c r="G103" s="1649"/>
      <c r="H103" s="1649">
        <f>F103+G103</f>
        <v>0</v>
      </c>
      <c r="I103" s="1650"/>
      <c r="J103" s="1650"/>
      <c r="K103" s="1650"/>
      <c r="L103" s="1648">
        <f>H103*D103/1000</f>
        <v>0</v>
      </c>
      <c r="M103" s="1648">
        <f>E103</f>
        <v>29.203151400000003</v>
      </c>
      <c r="N103" s="1648">
        <f>I103+J103+K103+L103</f>
        <v>0</v>
      </c>
      <c r="O103" s="1651">
        <f>M103+N103</f>
        <v>29.203151400000003</v>
      </c>
      <c r="P103" s="1648">
        <f t="shared" si="25"/>
        <v>374.30442107412705</v>
      </c>
      <c r="R103" s="1628"/>
    </row>
    <row r="104" spans="1:19" x14ac:dyDescent="0.2">
      <c r="A104" s="1646"/>
      <c r="B104" s="1683" t="s">
        <v>1320</v>
      </c>
      <c r="C104" s="1648"/>
      <c r="D104" s="1648">
        <f>SUM(D102:D103)</f>
        <v>94.184885656800006</v>
      </c>
      <c r="E104" s="1648">
        <f>SUM(E102:E103)</f>
        <v>31.454166456000003</v>
      </c>
      <c r="F104" s="1648"/>
      <c r="G104" s="1649"/>
      <c r="H104" s="1650">
        <f>SUM(H102:H103)</f>
        <v>0</v>
      </c>
      <c r="I104" s="1650"/>
      <c r="J104" s="1650"/>
      <c r="K104" s="1650"/>
      <c r="L104" s="1648">
        <f>SUM(L102:L103)</f>
        <v>0</v>
      </c>
      <c r="M104" s="1648">
        <f>SUM(M102:M103)</f>
        <v>31.454166456000003</v>
      </c>
      <c r="N104" s="1648">
        <f>SUM(N102:N103)</f>
        <v>0</v>
      </c>
      <c r="O104" s="1651">
        <f>SUM(O102:O103)</f>
        <v>31.454166456000003</v>
      </c>
      <c r="P104" s="1648">
        <f t="shared" si="25"/>
        <v>333.96193281601188</v>
      </c>
      <c r="R104" s="1628"/>
    </row>
    <row r="105" spans="1:19" x14ac:dyDescent="0.2">
      <c r="A105" s="1646" t="s">
        <v>658</v>
      </c>
      <c r="B105" s="1659" t="s">
        <v>1321</v>
      </c>
      <c r="C105" s="1648"/>
      <c r="D105" s="1648"/>
      <c r="E105" s="1648"/>
      <c r="F105" s="1648"/>
      <c r="G105" s="1649"/>
      <c r="H105" s="1650"/>
      <c r="I105" s="1650"/>
      <c r="J105" s="1650"/>
      <c r="K105" s="1650"/>
      <c r="L105" s="1648"/>
      <c r="M105" s="1648"/>
      <c r="N105" s="1648"/>
      <c r="O105" s="1651"/>
      <c r="P105" s="1648"/>
      <c r="R105" s="1628"/>
    </row>
    <row r="106" spans="1:19" s="1688" customFormat="1" ht="41.25" customHeight="1" x14ac:dyDescent="0.2">
      <c r="A106" s="1652"/>
      <c r="B106" s="1684" t="s">
        <v>1322</v>
      </c>
      <c r="C106" s="1648">
        <f>'[35]2021-22'!C105*'D1FY-22'!$C$8%</f>
        <v>0</v>
      </c>
      <c r="D106" s="1648">
        <f>'[35]2021-22'!D105*46.1492%</f>
        <v>0</v>
      </c>
      <c r="E106" s="1648">
        <f>'[35]2021-22'!E105*'D1FY-22'!$C$8%</f>
        <v>0</v>
      </c>
      <c r="F106" s="1648">
        <f>'[35]2021-22'!F105</f>
        <v>0</v>
      </c>
      <c r="G106" s="1685"/>
      <c r="H106" s="1649">
        <f>F106+G106</f>
        <v>0</v>
      </c>
      <c r="I106" s="1686"/>
      <c r="J106" s="1686"/>
      <c r="K106" s="1686"/>
      <c r="L106" s="1648">
        <f>H106*D106/1000</f>
        <v>0</v>
      </c>
      <c r="M106" s="1648">
        <f>E106</f>
        <v>0</v>
      </c>
      <c r="N106" s="1648">
        <f>I106+J106+K106+L106</f>
        <v>0</v>
      </c>
      <c r="O106" s="1651">
        <f>M106+N106</f>
        <v>0</v>
      </c>
      <c r="P106" s="1648" t="e">
        <f t="shared" si="25"/>
        <v>#DIV/0!</v>
      </c>
      <c r="Q106" s="1687"/>
      <c r="R106" s="1687"/>
    </row>
    <row r="107" spans="1:19" s="1693" customFormat="1" ht="24" customHeight="1" x14ac:dyDescent="0.2">
      <c r="A107" s="1689"/>
      <c r="B107" s="1670" t="s">
        <v>1323</v>
      </c>
      <c r="C107" s="1690">
        <f>SUM(C106:C106)</f>
        <v>0</v>
      </c>
      <c r="D107" s="1690">
        <f>SUM(D106:D106)</f>
        <v>0</v>
      </c>
      <c r="E107" s="1690">
        <f>SUM(E106:E106)</f>
        <v>0</v>
      </c>
      <c r="F107" s="1690"/>
      <c r="G107" s="1690">
        <f>SUM(G106:G106)</f>
        <v>0</v>
      </c>
      <c r="H107" s="1690"/>
      <c r="I107" s="1690">
        <f t="shared" ref="I107:O107" si="26">SUM(I106:I106)</f>
        <v>0</v>
      </c>
      <c r="J107" s="1690">
        <f t="shared" si="26"/>
        <v>0</v>
      </c>
      <c r="K107" s="1690">
        <f t="shared" si="26"/>
        <v>0</v>
      </c>
      <c r="L107" s="1690">
        <f t="shared" si="26"/>
        <v>0</v>
      </c>
      <c r="M107" s="1690">
        <f t="shared" si="26"/>
        <v>0</v>
      </c>
      <c r="N107" s="1690">
        <f t="shared" si="26"/>
        <v>0</v>
      </c>
      <c r="O107" s="1691">
        <f t="shared" si="26"/>
        <v>0</v>
      </c>
      <c r="P107" s="1648" t="e">
        <f t="shared" si="25"/>
        <v>#DIV/0!</v>
      </c>
      <c r="Q107" s="1692"/>
      <c r="R107" s="1692"/>
    </row>
    <row r="108" spans="1:19" s="1618" customFormat="1" ht="18.75" customHeight="1" x14ac:dyDescent="0.2">
      <c r="A108" s="1624" t="s">
        <v>659</v>
      </c>
      <c r="B108" s="1653" t="s">
        <v>1324</v>
      </c>
      <c r="C108" s="1660"/>
      <c r="D108" s="1694">
        <f>D107+D104+D100+D73+D70+D47</f>
        <v>32765.03674162961</v>
      </c>
      <c r="E108" s="1694">
        <f>E107+E104+E100+E73+E70+E47</f>
        <v>3889.3825860807674</v>
      </c>
      <c r="F108" s="1694"/>
      <c r="G108" s="1694">
        <f>G107+G104+G100+G73+G70+G47</f>
        <v>0</v>
      </c>
      <c r="H108" s="1694" t="e">
        <f>H107+H104+H100+H73+H70+H47</f>
        <v>#DIV/0!</v>
      </c>
      <c r="I108" s="1694">
        <f>I107+I104+I100+I73+I70+I47</f>
        <v>0</v>
      </c>
      <c r="J108" s="1694">
        <f>J107+J104+J100+J73+J70+J47</f>
        <v>0</v>
      </c>
      <c r="K108" s="1694">
        <f>K107+K104+K100+K73+K70+K47</f>
        <v>108.26552047600833</v>
      </c>
      <c r="L108" s="1694"/>
      <c r="M108" s="1694">
        <f>M107+M104+M100+M73+M70+M47</f>
        <v>7204.9232493224708</v>
      </c>
      <c r="N108" s="1694">
        <f>N107+N104+N100+N73+N70+N47</f>
        <v>9431.5052215928317</v>
      </c>
      <c r="O108" s="1694">
        <f>O107+O104+O100+O73+O70+O47</f>
        <v>16636.428470915303</v>
      </c>
      <c r="P108" s="1648">
        <f t="shared" si="25"/>
        <v>507.74942210816732</v>
      </c>
      <c r="Q108" s="1623"/>
      <c r="R108" s="1623"/>
    </row>
    <row r="109" spans="1:19" x14ac:dyDescent="0.2">
      <c r="A109" s="1646" t="s">
        <v>253</v>
      </c>
      <c r="B109" s="1647" t="s">
        <v>1325</v>
      </c>
      <c r="C109" s="1648"/>
      <c r="D109" s="1648">
        <f>'[35]ESCOM requirement'!H13</f>
        <v>29955.951521287796</v>
      </c>
      <c r="E109" s="1648"/>
      <c r="F109" s="1648"/>
      <c r="G109" s="1649"/>
      <c r="H109" s="1649"/>
      <c r="I109" s="1650"/>
      <c r="J109" s="1650"/>
      <c r="K109" s="1650"/>
      <c r="L109" s="1648"/>
      <c r="M109" s="1648"/>
      <c r="N109" s="1648"/>
      <c r="O109" s="1651"/>
      <c r="P109" s="1648"/>
      <c r="R109" s="1628"/>
    </row>
    <row r="110" spans="1:19" x14ac:dyDescent="0.2">
      <c r="A110" s="1646"/>
      <c r="B110" s="1647" t="s">
        <v>1326</v>
      </c>
      <c r="C110" s="1648"/>
      <c r="D110" s="1648">
        <f>D111</f>
        <v>-2809.0852203418144</v>
      </c>
      <c r="E110" s="1648"/>
      <c r="F110" s="1648">
        <f>P108</f>
        <v>507.74942210816732</v>
      </c>
      <c r="G110" s="1649"/>
      <c r="H110" s="1649">
        <f>F110+G110</f>
        <v>507.74942210816732</v>
      </c>
      <c r="I110" s="1650"/>
      <c r="J110" s="1650"/>
      <c r="K110" s="1650"/>
      <c r="L110" s="1648">
        <f>H110*D110/1000</f>
        <v>-1426.31139728115</v>
      </c>
      <c r="M110" s="1648">
        <f>E110</f>
        <v>0</v>
      </c>
      <c r="N110" s="1648">
        <f>I110+J110+K110+L110</f>
        <v>-1426.31139728115</v>
      </c>
      <c r="O110" s="1651">
        <f>M110+N110</f>
        <v>-1426.31139728115</v>
      </c>
      <c r="P110" s="1648">
        <f>O110/D110*1000</f>
        <v>507.74942210816732</v>
      </c>
      <c r="R110" s="1628"/>
    </row>
    <row r="111" spans="1:19" x14ac:dyDescent="0.2">
      <c r="A111" s="1646" t="s">
        <v>221</v>
      </c>
      <c r="B111" s="1647" t="s">
        <v>1327</v>
      </c>
      <c r="C111" s="1648"/>
      <c r="D111" s="1661">
        <f>D109-D108</f>
        <v>-2809.0852203418144</v>
      </c>
      <c r="E111" s="1648"/>
      <c r="F111" s="1648"/>
      <c r="G111" s="1649"/>
      <c r="H111" s="1649"/>
      <c r="I111" s="1650"/>
      <c r="J111" s="1650"/>
      <c r="K111" s="1650"/>
      <c r="L111" s="1648"/>
      <c r="M111" s="1648"/>
      <c r="N111" s="1648"/>
      <c r="O111" s="1651"/>
      <c r="P111" s="1648"/>
      <c r="R111" s="1628"/>
    </row>
    <row r="112" spans="1:19" x14ac:dyDescent="0.2">
      <c r="A112" s="1646" t="s">
        <v>254</v>
      </c>
      <c r="B112" s="1647" t="s">
        <v>1328</v>
      </c>
      <c r="C112" s="1648"/>
      <c r="D112" s="1648"/>
      <c r="E112" s="1648"/>
      <c r="F112" s="1648"/>
      <c r="G112" s="1649"/>
      <c r="H112" s="1648"/>
      <c r="I112" s="1650"/>
      <c r="J112" s="1650"/>
      <c r="K112" s="1650"/>
      <c r="L112" s="1648"/>
      <c r="M112" s="1648"/>
      <c r="N112" s="1648"/>
      <c r="O112" s="1651"/>
      <c r="P112" s="1648"/>
      <c r="R112" s="1628"/>
    </row>
    <row r="113" spans="1:18" x14ac:dyDescent="0.2">
      <c r="A113" s="1646"/>
      <c r="B113" s="1647" t="s">
        <v>1329</v>
      </c>
      <c r="C113" s="1648"/>
      <c r="D113" s="1648"/>
      <c r="E113" s="1648"/>
      <c r="F113" s="1648"/>
      <c r="G113" s="1649"/>
      <c r="H113" s="1648"/>
      <c r="I113" s="1650"/>
      <c r="J113" s="1650"/>
      <c r="K113" s="1650"/>
      <c r="L113" s="1648"/>
      <c r="M113" s="1648"/>
      <c r="N113" s="1648"/>
      <c r="O113" s="1651">
        <f>((12113*0.0155114)*12)+(331.414*(12113/24363))</f>
        <v>2419.4502413413456</v>
      </c>
      <c r="P113" s="1648"/>
      <c r="Q113" s="1698"/>
      <c r="R113" s="1628"/>
    </row>
    <row r="114" spans="1:18" ht="15" customHeight="1" x14ac:dyDescent="0.2">
      <c r="A114" s="1646" t="s">
        <v>255</v>
      </c>
      <c r="B114" s="1647" t="s">
        <v>431</v>
      </c>
      <c r="C114" s="1648"/>
      <c r="D114" s="1648">
        <f>D108+D110</f>
        <v>29955.951521287796</v>
      </c>
      <c r="E114" s="1648"/>
      <c r="F114" s="1648"/>
      <c r="G114" s="1649"/>
      <c r="H114" s="1649"/>
      <c r="I114" s="1650"/>
      <c r="J114" s="1650"/>
      <c r="K114" s="1650"/>
      <c r="L114" s="1648">
        <f>L108+L110</f>
        <v>-1426.31139728115</v>
      </c>
      <c r="M114" s="1648">
        <f>M108+M110</f>
        <v>7204.9232493224708</v>
      </c>
      <c r="N114" s="1648">
        <f>N108+N110</f>
        <v>8005.193824311682</v>
      </c>
      <c r="O114" s="1648">
        <f>O108+O110+O113</f>
        <v>17629.567314975498</v>
      </c>
      <c r="P114" s="1705">
        <f>O114/D114*1000</f>
        <v>588.51635216618911</v>
      </c>
      <c r="Q114" s="1698"/>
      <c r="R114" s="1628"/>
    </row>
    <row r="115" spans="1:18" ht="15" customHeight="1" x14ac:dyDescent="0.2">
      <c r="A115" s="1695"/>
      <c r="B115" s="1696"/>
      <c r="C115" s="1697"/>
      <c r="D115" s="1698"/>
      <c r="E115" s="1698"/>
      <c r="F115" s="1698"/>
      <c r="G115" s="1699"/>
      <c r="H115" s="1699"/>
      <c r="I115" s="1628"/>
      <c r="J115" s="1628"/>
      <c r="K115" s="1628"/>
      <c r="L115" s="1698"/>
      <c r="M115" s="1698"/>
      <c r="N115" s="1698"/>
      <c r="O115" s="1698"/>
      <c r="P115" s="1700"/>
    </row>
    <row r="116" spans="1:18" ht="17.25" customHeight="1" x14ac:dyDescent="0.2">
      <c r="O116" s="1628"/>
      <c r="P116" s="1698"/>
    </row>
    <row r="117" spans="1:18" x14ac:dyDescent="0.2">
      <c r="O117" s="1698">
        <f>O108+[35]GESCOM!O108+[35]HESCOM!O108+[35]MESCOM!O108+[35]CESC!O109</f>
        <v>78588.695622661675</v>
      </c>
      <c r="P117" s="1698"/>
    </row>
    <row r="118" spans="1:18" x14ac:dyDescent="0.2">
      <c r="O118" s="1698"/>
      <c r="P118" s="1698"/>
    </row>
    <row r="119" spans="1:18" x14ac:dyDescent="0.2">
      <c r="D119" s="1679">
        <f>D114-D35</f>
        <v>25712.191291873249</v>
      </c>
      <c r="O119" s="1628"/>
      <c r="P119" s="1698"/>
    </row>
    <row r="120" spans="1:18" x14ac:dyDescent="0.2">
      <c r="D120" s="1679">
        <f>D99+D81+D82+D83+D85+D88</f>
        <v>5247.4050819300001</v>
      </c>
      <c r="E120" s="1679">
        <f t="shared" ref="E120:O120" si="27">E99+E81+E82+E83+E85+E88</f>
        <v>0</v>
      </c>
      <c r="F120" s="1679" t="e">
        <f t="shared" si="27"/>
        <v>#DIV/0!</v>
      </c>
      <c r="G120" s="1679">
        <f t="shared" si="27"/>
        <v>0</v>
      </c>
      <c r="H120" s="1679" t="e">
        <f t="shared" si="27"/>
        <v>#DIV/0!</v>
      </c>
      <c r="I120" s="1679">
        <f t="shared" si="27"/>
        <v>0</v>
      </c>
      <c r="J120" s="1679">
        <f t="shared" si="27"/>
        <v>0</v>
      </c>
      <c r="K120" s="1679">
        <f t="shared" si="27"/>
        <v>0</v>
      </c>
      <c r="L120" s="1679">
        <f t="shared" si="27"/>
        <v>1763.8761633395181</v>
      </c>
      <c r="M120" s="1679">
        <f t="shared" si="27"/>
        <v>0</v>
      </c>
      <c r="N120" s="1679">
        <f t="shared" si="27"/>
        <v>1763.8761633395181</v>
      </c>
      <c r="O120" s="1679">
        <f t="shared" si="27"/>
        <v>1763.8761633395181</v>
      </c>
      <c r="P120" s="1679" t="e">
        <f>P99+P81+P82+P83+P85+P88</f>
        <v>#DIV/0!</v>
      </c>
    </row>
    <row r="121" spans="1:18" x14ac:dyDescent="0.2">
      <c r="D121" s="1679">
        <f>D120/D119</f>
        <v>0.20408237564678225</v>
      </c>
      <c r="O121" s="1628"/>
      <c r="P121" s="1698"/>
    </row>
    <row r="122" spans="1:18" x14ac:dyDescent="0.2">
      <c r="O122" s="1628">
        <f>O120/D120</f>
        <v>0.33614255728295384</v>
      </c>
      <c r="P122" s="1698"/>
    </row>
    <row r="123" spans="1:18" x14ac:dyDescent="0.2">
      <c r="O123" s="1628"/>
      <c r="P123" s="1698"/>
    </row>
    <row r="124" spans="1:18" x14ac:dyDescent="0.2">
      <c r="D124" s="1679">
        <f>D77+D78+D79+D80+D102+D103+D106</f>
        <v>3041.5108856567995</v>
      </c>
      <c r="O124" s="1628"/>
      <c r="P124" s="1698"/>
    </row>
    <row r="125" spans="1:18" ht="13.5" customHeight="1" x14ac:dyDescent="0.2">
      <c r="O125" s="1628"/>
      <c r="P125" s="1698"/>
    </row>
    <row r="126" spans="1:18" x14ac:dyDescent="0.2">
      <c r="D126" s="1679">
        <f>D124/D119*10</f>
        <v>1.1829061362880098</v>
      </c>
      <c r="O126" s="1628"/>
      <c r="P126" s="1698"/>
    </row>
    <row r="127" spans="1:18" x14ac:dyDescent="0.2">
      <c r="O127" s="1628"/>
      <c r="P127" s="1698"/>
    </row>
    <row r="128" spans="1:18" x14ac:dyDescent="0.2">
      <c r="O128" s="1628"/>
      <c r="P128" s="1698"/>
    </row>
    <row r="129" spans="7:16" x14ac:dyDescent="0.2">
      <c r="O129" s="1628"/>
      <c r="P129" s="1698"/>
    </row>
    <row r="130" spans="7:16" x14ac:dyDescent="0.2">
      <c r="J130" s="1679"/>
      <c r="O130" s="1628"/>
      <c r="P130" s="1698"/>
    </row>
    <row r="131" spans="7:16" x14ac:dyDescent="0.2">
      <c r="G131" s="1679"/>
      <c r="H131" s="1679"/>
      <c r="O131" s="1628"/>
      <c r="P131" s="1698"/>
    </row>
    <row r="132" spans="7:16" x14ac:dyDescent="0.2">
      <c r="O132" s="1628"/>
      <c r="P132" s="1698"/>
    </row>
    <row r="133" spans="7:16" x14ac:dyDescent="0.2">
      <c r="O133" s="1628"/>
      <c r="P133" s="1698"/>
    </row>
    <row r="134" spans="7:16" x14ac:dyDescent="0.2">
      <c r="O134" s="1628"/>
      <c r="P134" s="1698"/>
    </row>
    <row r="135" spans="7:16" x14ac:dyDescent="0.2">
      <c r="O135" s="1628"/>
      <c r="P135" s="1698"/>
    </row>
    <row r="136" spans="7:16" x14ac:dyDescent="0.2">
      <c r="O136" s="1628"/>
      <c r="P136" s="1698"/>
    </row>
    <row r="137" spans="7:16" x14ac:dyDescent="0.2">
      <c r="O137" s="1628"/>
      <c r="P137" s="1698"/>
    </row>
    <row r="138" spans="7:16" x14ac:dyDescent="0.2">
      <c r="O138" s="1628"/>
      <c r="P138" s="1698"/>
    </row>
    <row r="139" spans="7:16" x14ac:dyDescent="0.2">
      <c r="O139" s="1628"/>
      <c r="P139" s="1698"/>
    </row>
    <row r="140" spans="7:16" x14ac:dyDescent="0.2">
      <c r="O140" s="1628"/>
      <c r="P140" s="1698"/>
    </row>
    <row r="141" spans="7:16" x14ac:dyDescent="0.2">
      <c r="O141" s="1628"/>
      <c r="P141" s="1698"/>
    </row>
    <row r="142" spans="7:16" x14ac:dyDescent="0.2">
      <c r="O142" s="1628"/>
      <c r="P142" s="1698"/>
    </row>
    <row r="143" spans="7:16" x14ac:dyDescent="0.2">
      <c r="O143" s="1628"/>
      <c r="P143" s="1698"/>
    </row>
    <row r="144" spans="7:16" x14ac:dyDescent="0.2">
      <c r="O144" s="1628"/>
      <c r="P144" s="1698"/>
    </row>
    <row r="145" spans="15:16" x14ac:dyDescent="0.2">
      <c r="O145" s="1628"/>
      <c r="P145" s="1698"/>
    </row>
    <row r="146" spans="15:16" x14ac:dyDescent="0.2">
      <c r="O146" s="1628"/>
      <c r="P146" s="1698"/>
    </row>
    <row r="147" spans="15:16" x14ac:dyDescent="0.2">
      <c r="O147" s="1628"/>
      <c r="P147" s="1698"/>
    </row>
    <row r="148" spans="15:16" x14ac:dyDescent="0.2">
      <c r="O148" s="1628"/>
      <c r="P148" s="1698"/>
    </row>
    <row r="149" spans="15:16" x14ac:dyDescent="0.2">
      <c r="O149" s="1628"/>
      <c r="P149" s="1698"/>
    </row>
    <row r="150" spans="15:16" x14ac:dyDescent="0.2">
      <c r="O150" s="1628"/>
      <c r="P150" s="1698"/>
    </row>
    <row r="151" spans="15:16" x14ac:dyDescent="0.2">
      <c r="O151" s="1628"/>
      <c r="P151" s="1698"/>
    </row>
    <row r="152" spans="15:16" x14ac:dyDescent="0.2">
      <c r="O152" s="1628"/>
      <c r="P152" s="1698"/>
    </row>
    <row r="153" spans="15:16" x14ac:dyDescent="0.2">
      <c r="O153" s="1628"/>
      <c r="P153" s="1698"/>
    </row>
    <row r="154" spans="15:16" x14ac:dyDescent="0.2">
      <c r="O154" s="1628"/>
      <c r="P154" s="1698"/>
    </row>
    <row r="155" spans="15:16" x14ac:dyDescent="0.2">
      <c r="O155" s="1628"/>
      <c r="P155" s="1698"/>
    </row>
  </sheetData>
  <mergeCells count="11">
    <mergeCell ref="F3:H3"/>
    <mergeCell ref="I3:K3"/>
    <mergeCell ref="M3:O3"/>
    <mergeCell ref="P3:P4"/>
    <mergeCell ref="F1:G1"/>
    <mergeCell ref="B2:O2"/>
    <mergeCell ref="A3:A4"/>
    <mergeCell ref="B3:B4"/>
    <mergeCell ref="C3:C4"/>
    <mergeCell ref="D3:D4"/>
    <mergeCell ref="E3:E4"/>
  </mergeCells>
  <pageMargins left="0.11811023622047245" right="0.11811023622047245" top="0.11811023622047245" bottom="0.11811023622047245" header="0.51181102362204722" footer="0.51181102362204722"/>
  <pageSetup paperSize="8" scale="77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1"/>
  <sheetViews>
    <sheetView tabSelected="1" zoomScaleNormal="100" workbookViewId="0">
      <pane xSplit="3" ySplit="9" topLeftCell="R34" activePane="bottomRight" state="frozen"/>
      <selection activeCell="G47" sqref="G47"/>
      <selection pane="topRight" activeCell="G47" sqref="G47"/>
      <selection pane="bottomLeft" activeCell="G47" sqref="G47"/>
      <selection pane="bottomRight" activeCell="V4" sqref="V4"/>
    </sheetView>
  </sheetViews>
  <sheetFormatPr defaultRowHeight="12.75" x14ac:dyDescent="0.2"/>
  <cols>
    <col min="1" max="1" width="6.28515625" style="1313" customWidth="1"/>
    <col min="2" max="2" width="12.42578125" style="1313" customWidth="1"/>
    <col min="3" max="3" width="37.85546875" style="1313" customWidth="1"/>
    <col min="4" max="4" width="11.140625" style="1313" hidden="1" customWidth="1"/>
    <col min="5" max="5" width="10" style="1313" hidden="1" customWidth="1"/>
    <col min="6" max="6" width="11.42578125" style="1313" hidden="1" customWidth="1"/>
    <col min="7" max="7" width="9.140625" style="1313" hidden="1" customWidth="1"/>
    <col min="8" max="8" width="13.5703125" style="1313" hidden="1" customWidth="1"/>
    <col min="9" max="9" width="10.28515625" style="1313" hidden="1" customWidth="1"/>
    <col min="10" max="10" width="10.5703125" style="1313" hidden="1" customWidth="1"/>
    <col min="11" max="11" width="10.28515625" style="1313" hidden="1" customWidth="1"/>
    <col min="12" max="14" width="12" style="1313" customWidth="1"/>
    <col min="15" max="15" width="13.42578125" style="1313" customWidth="1"/>
    <col min="16" max="16" width="15.7109375" style="1313" customWidth="1"/>
    <col min="17" max="17" width="11.85546875" style="1313" customWidth="1"/>
    <col min="18" max="18" width="12.7109375" style="1313" customWidth="1"/>
    <col min="19" max="19" width="10.7109375" style="1313" customWidth="1"/>
    <col min="20" max="20" width="12.5703125" style="1313" customWidth="1"/>
    <col min="21" max="23" width="10.7109375" style="1313" customWidth="1"/>
    <col min="24" max="24" width="10.5703125" style="1313" customWidth="1"/>
    <col min="25" max="25" width="12.28515625" style="1313" customWidth="1"/>
    <col min="26" max="26" width="11.5703125" style="1313" customWidth="1"/>
    <col min="27" max="27" width="10.5703125" style="1313" customWidth="1"/>
    <col min="28" max="28" width="10.85546875" style="1313" customWidth="1"/>
    <col min="29" max="29" width="12" style="1313" customWidth="1"/>
    <col min="30" max="30" width="11.5703125" style="1313" customWidth="1"/>
    <col min="31" max="31" width="11.42578125" style="1313" customWidth="1"/>
    <col min="32" max="16384" width="9.140625" style="1313"/>
  </cols>
  <sheetData>
    <row r="1" spans="1:31" ht="15" customHeight="1" x14ac:dyDescent="0.2">
      <c r="A1" s="1197" t="s">
        <v>499</v>
      </c>
      <c r="B1" s="1312"/>
      <c r="C1" s="1312"/>
    </row>
    <row r="2" spans="1:31" x14ac:dyDescent="0.2">
      <c r="A2" s="1197"/>
      <c r="B2" s="1312"/>
      <c r="C2" s="1312"/>
      <c r="AE2" s="1762" t="s">
        <v>1343</v>
      </c>
    </row>
    <row r="3" spans="1:31" x14ac:dyDescent="0.2">
      <c r="A3" s="1197"/>
      <c r="B3" s="1198" t="s">
        <v>460</v>
      </c>
      <c r="C3" s="1198"/>
    </row>
    <row r="4" spans="1:31" x14ac:dyDescent="0.2">
      <c r="B4" s="1199" t="s">
        <v>615</v>
      </c>
      <c r="C4" s="1200"/>
      <c r="T4" s="1341">
        <f>U38+U39+U42+U43</f>
        <v>2257.2240584399997</v>
      </c>
      <c r="U4" s="1341">
        <f>V38+V39+V42+V43</f>
        <v>2670.2620621000001</v>
      </c>
      <c r="V4" s="1341">
        <f>U4/T4*10</f>
        <v>11.829849376784763</v>
      </c>
    </row>
    <row r="5" spans="1:31" x14ac:dyDescent="0.2">
      <c r="A5" s="1201"/>
      <c r="B5" s="1202" t="s">
        <v>574</v>
      </c>
      <c r="C5" s="1201"/>
      <c r="M5" s="1203"/>
      <c r="Q5" s="1313">
        <f>(Q13+Q14)/Q62</f>
        <v>0.26175410208992372</v>
      </c>
    </row>
    <row r="6" spans="1:31" ht="13.5" thickBot="1" x14ac:dyDescent="0.25"/>
    <row r="7" spans="1:31" ht="29.25" customHeight="1" x14ac:dyDescent="0.2">
      <c r="A7" s="1866" t="s">
        <v>166</v>
      </c>
      <c r="B7" s="1866" t="s">
        <v>161</v>
      </c>
      <c r="C7" s="1868" t="s">
        <v>162</v>
      </c>
      <c r="D7" s="1870" t="s">
        <v>764</v>
      </c>
      <c r="E7" s="1871"/>
      <c r="F7" s="1871"/>
      <c r="G7" s="1872"/>
      <c r="H7" s="1870" t="s">
        <v>765</v>
      </c>
      <c r="I7" s="1871"/>
      <c r="J7" s="1871"/>
      <c r="K7" s="1872"/>
      <c r="L7" s="1871" t="s">
        <v>1145</v>
      </c>
      <c r="M7" s="1871"/>
      <c r="N7" s="1871"/>
      <c r="O7" s="1872"/>
      <c r="P7" s="1870" t="s">
        <v>875</v>
      </c>
      <c r="Q7" s="1871"/>
      <c r="R7" s="1871"/>
      <c r="S7" s="1872"/>
      <c r="T7" s="1877" t="s">
        <v>1224</v>
      </c>
      <c r="U7" s="1878"/>
      <c r="V7" s="1878"/>
      <c r="W7" s="1879"/>
      <c r="X7" s="1871" t="s">
        <v>876</v>
      </c>
      <c r="Y7" s="1871"/>
      <c r="Z7" s="1871"/>
      <c r="AA7" s="1871"/>
      <c r="AB7" s="1870" t="s">
        <v>877</v>
      </c>
      <c r="AC7" s="1871"/>
      <c r="AD7" s="1871"/>
      <c r="AE7" s="1872"/>
    </row>
    <row r="8" spans="1:31" ht="56.25" customHeight="1" thickBot="1" x14ac:dyDescent="0.25">
      <c r="A8" s="1867"/>
      <c r="B8" s="1867"/>
      <c r="C8" s="1869"/>
      <c r="D8" s="1204" t="s">
        <v>616</v>
      </c>
      <c r="E8" s="1205" t="s">
        <v>617</v>
      </c>
      <c r="F8" s="1205" t="s">
        <v>618</v>
      </c>
      <c r="G8" s="1206" t="s">
        <v>619</v>
      </c>
      <c r="H8" s="1204" t="s">
        <v>616</v>
      </c>
      <c r="I8" s="1205" t="s">
        <v>617</v>
      </c>
      <c r="J8" s="1205" t="s">
        <v>618</v>
      </c>
      <c r="K8" s="1206" t="s">
        <v>619</v>
      </c>
      <c r="L8" s="1324" t="s">
        <v>616</v>
      </c>
      <c r="M8" s="1205" t="s">
        <v>617</v>
      </c>
      <c r="N8" s="1205" t="s">
        <v>618</v>
      </c>
      <c r="O8" s="1206" t="s">
        <v>619</v>
      </c>
      <c r="P8" s="1204" t="s">
        <v>616</v>
      </c>
      <c r="Q8" s="1205" t="s">
        <v>617</v>
      </c>
      <c r="R8" s="1205" t="s">
        <v>618</v>
      </c>
      <c r="S8" s="1206" t="s">
        <v>619</v>
      </c>
      <c r="T8" s="1204" t="s">
        <v>616</v>
      </c>
      <c r="U8" s="1205" t="s">
        <v>617</v>
      </c>
      <c r="V8" s="1205" t="s">
        <v>618</v>
      </c>
      <c r="W8" s="1206" t="s">
        <v>619</v>
      </c>
      <c r="X8" s="1324" t="s">
        <v>616</v>
      </c>
      <c r="Y8" s="1205" t="s">
        <v>617</v>
      </c>
      <c r="Z8" s="1205" t="s">
        <v>618</v>
      </c>
      <c r="AA8" s="1496" t="s">
        <v>619</v>
      </c>
      <c r="AB8" s="1204" t="s">
        <v>616</v>
      </c>
      <c r="AC8" s="1205" t="s">
        <v>617</v>
      </c>
      <c r="AD8" s="1205" t="s">
        <v>618</v>
      </c>
      <c r="AE8" s="1206" t="s">
        <v>619</v>
      </c>
    </row>
    <row r="9" spans="1:31" x14ac:dyDescent="0.2">
      <c r="A9" s="1207"/>
      <c r="B9" s="1207"/>
      <c r="C9" s="1531"/>
      <c r="D9" s="1211"/>
      <c r="E9" s="1209"/>
      <c r="F9" s="1311"/>
      <c r="G9" s="1210"/>
      <c r="H9" s="1528"/>
      <c r="I9" s="1212"/>
      <c r="J9" s="1212"/>
      <c r="K9" s="1285"/>
      <c r="L9" s="1208"/>
      <c r="M9" s="1311"/>
      <c r="N9" s="1311"/>
      <c r="O9" s="1210"/>
      <c r="P9" s="1211"/>
      <c r="Q9" s="1311"/>
      <c r="R9" s="1311"/>
      <c r="S9" s="1210"/>
      <c r="T9" s="1211"/>
      <c r="U9" s="1311"/>
      <c r="V9" s="1311"/>
      <c r="W9" s="1210"/>
      <c r="X9" s="1208"/>
      <c r="Y9" s="1311"/>
      <c r="Z9" s="1311"/>
      <c r="AA9" s="1468"/>
      <c r="AB9" s="1500"/>
      <c r="AC9" s="1312"/>
      <c r="AD9" s="1312"/>
      <c r="AE9" s="1501"/>
    </row>
    <row r="10" spans="1:31" s="1197" customFormat="1" ht="14.25" x14ac:dyDescent="0.2">
      <c r="A10" s="1213">
        <v>1</v>
      </c>
      <c r="B10" s="1213" t="s">
        <v>238</v>
      </c>
      <c r="C10" s="1532" t="s">
        <v>1144</v>
      </c>
      <c r="D10" s="1485">
        <v>843579</v>
      </c>
      <c r="E10" s="1215">
        <v>183.64956425999998</v>
      </c>
      <c r="F10" s="1215">
        <v>91.99</v>
      </c>
      <c r="G10" s="1217">
        <f>(F10/E10)*1000</f>
        <v>500.8996366022742</v>
      </c>
      <c r="H10" s="1485">
        <f>'[19]MYT 4th control period -revised'!$R$62</f>
        <v>798305</v>
      </c>
      <c r="I10" s="1215">
        <f>'[19]MYT 4th control period -revised'!$S$62</f>
        <v>171.29</v>
      </c>
      <c r="J10" s="1215">
        <v>115.96</v>
      </c>
      <c r="K10" s="1322">
        <f>(J10/I10)*1000</f>
        <v>676.98055928542237</v>
      </c>
      <c r="L10" s="1216">
        <v>796666</v>
      </c>
      <c r="M10" s="1215">
        <v>88.623448209999992</v>
      </c>
      <c r="N10" s="1215">
        <v>71.436749988999992</v>
      </c>
      <c r="O10" s="1217">
        <f>(N10/M10)*1000</f>
        <v>806.07053135334104</v>
      </c>
      <c r="P10" s="1216">
        <v>798170</v>
      </c>
      <c r="Q10" s="1215">
        <v>177.65</v>
      </c>
      <c r="R10" s="1215">
        <v>130.89704636100004</v>
      </c>
      <c r="S10" s="1217">
        <f>(R10/Q10)*1000</f>
        <v>736.82547909372374</v>
      </c>
      <c r="T10" s="1485">
        <v>781792</v>
      </c>
      <c r="U10" s="1215">
        <v>90.205205160000006</v>
      </c>
      <c r="V10" s="1215">
        <v>66.046695964999998</v>
      </c>
      <c r="W10" s="1217">
        <f>(V10/U10)*1000</f>
        <v>732.18275872052789</v>
      </c>
      <c r="X10" s="1216">
        <v>781792</v>
      </c>
      <c r="Y10" s="1215">
        <v>217.84208928087892</v>
      </c>
      <c r="Z10" s="1215">
        <f>Y10*AA10/1000</f>
        <v>160.54961980000775</v>
      </c>
      <c r="AA10" s="1497">
        <v>737</v>
      </c>
      <c r="AB10" s="1485">
        <v>781792</v>
      </c>
      <c r="AC10" s="1215">
        <v>217.84208928087892</v>
      </c>
      <c r="AD10" s="1462">
        <v>177.32346067463544</v>
      </c>
      <c r="AE10" s="1520">
        <f>AD10/AC10*1000</f>
        <v>814</v>
      </c>
    </row>
    <row r="11" spans="1:31" s="1197" customFormat="1" ht="14.25" x14ac:dyDescent="0.2">
      <c r="A11" s="1213"/>
      <c r="B11" s="1213" t="s">
        <v>238</v>
      </c>
      <c r="C11" s="1532" t="s">
        <v>1143</v>
      </c>
      <c r="D11" s="1485"/>
      <c r="E11" s="1215"/>
      <c r="F11" s="1215"/>
      <c r="G11" s="1217"/>
      <c r="H11" s="1485">
        <f>'[19]MYT 4th control period -revised'!$R$63</f>
        <v>46198</v>
      </c>
      <c r="I11" s="1215">
        <f>'[19]MYT 4th control period -revised'!$S$63</f>
        <v>45.46</v>
      </c>
      <c r="J11" s="1215">
        <v>20.81</v>
      </c>
      <c r="K11" s="1322">
        <f>(J11/I11)*1000</f>
        <v>457.76506819181697</v>
      </c>
      <c r="L11" s="1216">
        <v>47693</v>
      </c>
      <c r="M11" s="1215">
        <v>25.750593309999999</v>
      </c>
      <c r="N11" s="1215">
        <v>14.851481972</v>
      </c>
      <c r="O11" s="1217">
        <f>(N11/M11)*1000</f>
        <v>576.74329259949775</v>
      </c>
      <c r="P11" s="1216">
        <v>46057</v>
      </c>
      <c r="Q11" s="1215">
        <v>46.78</v>
      </c>
      <c r="R11" s="1215">
        <v>24.177182361999993</v>
      </c>
      <c r="S11" s="1217">
        <f>(R11/Q11)*1000</f>
        <v>516.82732710560049</v>
      </c>
      <c r="T11" s="1485">
        <v>61617</v>
      </c>
      <c r="U11" s="1215">
        <v>47.853810600000003</v>
      </c>
      <c r="V11" s="1215">
        <v>20.802730007000001</v>
      </c>
      <c r="W11" s="1217">
        <f>(V11/U11)*1000</f>
        <v>434.71417941792919</v>
      </c>
      <c r="X11" s="1216">
        <v>61617</v>
      </c>
      <c r="Y11" s="1215">
        <v>57.350039674248571</v>
      </c>
      <c r="Z11" s="1215">
        <v>24.930875436576653</v>
      </c>
      <c r="AA11" s="1497">
        <f>(Z11/Y11)*1000</f>
        <v>434.71417941792924</v>
      </c>
      <c r="AB11" s="1485">
        <v>61617</v>
      </c>
      <c r="AC11" s="1215">
        <v>57.350039674248571</v>
      </c>
      <c r="AD11" s="1462">
        <v>30.739599999999999</v>
      </c>
      <c r="AE11" s="1502">
        <f>AD11/AC11*1000</f>
        <v>535.99962919995608</v>
      </c>
    </row>
    <row r="12" spans="1:31" s="1197" customFormat="1" ht="25.5" x14ac:dyDescent="0.2">
      <c r="A12" s="1213">
        <v>2</v>
      </c>
      <c r="B12" s="1213" t="s">
        <v>491</v>
      </c>
      <c r="C12" s="1532" t="s">
        <v>492</v>
      </c>
      <c r="D12" s="1487"/>
      <c r="E12" s="1218"/>
      <c r="F12" s="1219"/>
      <c r="G12" s="1217"/>
      <c r="H12" s="1485"/>
      <c r="I12" s="1215"/>
      <c r="J12" s="1215"/>
      <c r="K12" s="1322"/>
      <c r="L12" s="1220"/>
      <c r="M12" s="1221"/>
      <c r="N12" s="1222"/>
      <c r="O12" s="1217"/>
      <c r="P12" s="1220"/>
      <c r="Q12" s="1221"/>
      <c r="R12" s="1215"/>
      <c r="S12" s="1217"/>
      <c r="T12" s="1485"/>
      <c r="U12" s="1215"/>
      <c r="V12" s="1215"/>
      <c r="W12" s="1217"/>
      <c r="X12" s="1220"/>
      <c r="Y12" s="1221"/>
      <c r="Z12" s="1215"/>
      <c r="AA12" s="1497"/>
      <c r="AB12" s="1503"/>
      <c r="AC12" s="1221"/>
      <c r="AD12" s="1222"/>
      <c r="AE12" s="1504"/>
    </row>
    <row r="13" spans="1:31" ht="25.5" x14ac:dyDescent="0.2">
      <c r="A13" s="1223"/>
      <c r="B13" s="1223" t="s">
        <v>143</v>
      </c>
      <c r="C13" s="1533" t="s">
        <v>625</v>
      </c>
      <c r="D13" s="1485">
        <v>5763301</v>
      </c>
      <c r="E13" s="1215">
        <v>5965.4097159800003</v>
      </c>
      <c r="F13" s="1215">
        <v>3526.33</v>
      </c>
      <c r="G13" s="1217">
        <f>(F13/E13)*1000</f>
        <v>591.12955654223538</v>
      </c>
      <c r="H13" s="1485">
        <v>6039894</v>
      </c>
      <c r="I13" s="1215">
        <v>6219.79</v>
      </c>
      <c r="J13" s="1215">
        <f>4025.21633219-12.4-38.0569</f>
        <v>3974.7594321899996</v>
      </c>
      <c r="K13" s="1322">
        <f>(J13/I13)*1000</f>
        <v>639.05042327634851</v>
      </c>
      <c r="L13" s="1216">
        <v>6175424</v>
      </c>
      <c r="M13" s="1215">
        <v>3414.1477937300001</v>
      </c>
      <c r="N13" s="1215">
        <v>2413.890346447</v>
      </c>
      <c r="O13" s="1217">
        <f>(N13/M13)*1000</f>
        <v>707.0257330043097</v>
      </c>
      <c r="P13" s="1216">
        <v>6309748</v>
      </c>
      <c r="Q13" s="1215">
        <v>6530.11</v>
      </c>
      <c r="R13" s="1215">
        <v>4484.7918506892011</v>
      </c>
      <c r="S13" s="1217">
        <f>(R13/Q13)*1000</f>
        <v>686.78657031645741</v>
      </c>
      <c r="T13" s="1485">
        <v>6412480</v>
      </c>
      <c r="U13" s="1215">
        <v>3375.4396735300002</v>
      </c>
      <c r="V13" s="1215">
        <v>2391.3572805399999</v>
      </c>
      <c r="W13" s="1217">
        <f>(V13/U13)*1000</f>
        <v>708.45801194223179</v>
      </c>
      <c r="X13" s="1216">
        <v>6521836.0800000001</v>
      </c>
      <c r="Y13" s="1215">
        <v>6538.4866664512792</v>
      </c>
      <c r="Z13" s="1215">
        <v>4632.2432648248632</v>
      </c>
      <c r="AA13" s="1497">
        <f>(Z13/Y13)*1000</f>
        <v>708.45801194223168</v>
      </c>
      <c r="AB13" s="1485">
        <v>6840620</v>
      </c>
      <c r="AC13" s="1215">
        <v>6902.754393436644</v>
      </c>
      <c r="AD13" s="1462">
        <v>5244.906864658381</v>
      </c>
      <c r="AE13" s="1502">
        <f>AD13/AC13*1000</f>
        <v>759.82811580916211</v>
      </c>
    </row>
    <row r="14" spans="1:31" ht="14.25" x14ac:dyDescent="0.2">
      <c r="A14" s="1223"/>
      <c r="B14" s="1223" t="s">
        <v>144</v>
      </c>
      <c r="C14" s="1533" t="s">
        <v>624</v>
      </c>
      <c r="D14" s="1485">
        <v>1729592</v>
      </c>
      <c r="E14" s="1215">
        <v>651.11694412999998</v>
      </c>
      <c r="F14" s="1215">
        <v>327.53357381199999</v>
      </c>
      <c r="G14" s="1217">
        <f>(F14/E14)*1000</f>
        <v>503.03340554228561</v>
      </c>
      <c r="H14" s="1485">
        <v>1848135</v>
      </c>
      <c r="I14" s="1215">
        <v>699.56</v>
      </c>
      <c r="J14" s="1215">
        <f>390.701713605-4.593-4.26176</f>
        <v>381.84695360500001</v>
      </c>
      <c r="K14" s="1322">
        <f>(J14/I14)*1000</f>
        <v>545.838746647893</v>
      </c>
      <c r="L14" s="1216">
        <v>1912373</v>
      </c>
      <c r="M14" s="1215">
        <v>396.33542249000004</v>
      </c>
      <c r="N14" s="1215">
        <v>247.168063977</v>
      </c>
      <c r="O14" s="1217">
        <f>(N14/M14)*1000</f>
        <v>623.63354358828803</v>
      </c>
      <c r="P14" s="1216">
        <v>1963844</v>
      </c>
      <c r="Q14" s="1215">
        <v>755.71</v>
      </c>
      <c r="R14" s="1215">
        <v>457.50077933179966</v>
      </c>
      <c r="S14" s="1217">
        <f>(R14/Q14)*1000</f>
        <v>605.39198810628375</v>
      </c>
      <c r="T14" s="1485">
        <v>2003736</v>
      </c>
      <c r="U14" s="1215">
        <v>422.41456370999998</v>
      </c>
      <c r="V14" s="1215">
        <v>262.32527122300002</v>
      </c>
      <c r="W14" s="1217">
        <f>(V14/U14)*1000</f>
        <v>621.0137948820676</v>
      </c>
      <c r="X14" s="1216">
        <v>2037003.9200000002</v>
      </c>
      <c r="Y14" s="1215">
        <v>818.24626633827165</v>
      </c>
      <c r="Z14" s="1215">
        <v>508.14221900681309</v>
      </c>
      <c r="AA14" s="1497">
        <f>(Z14/Y14)*1000</f>
        <v>621.0137948820676</v>
      </c>
      <c r="AB14" s="1485">
        <v>2136572</v>
      </c>
      <c r="AC14" s="1215">
        <v>863.83184642099047</v>
      </c>
      <c r="AD14" s="1462">
        <v>644.71210733581211</v>
      </c>
      <c r="AE14" s="1502">
        <f>AD14/AC14*1000</f>
        <v>746.33982297245632</v>
      </c>
    </row>
    <row r="15" spans="1:31" s="1197" customFormat="1" ht="25.5" x14ac:dyDescent="0.2">
      <c r="A15" s="1213">
        <v>3</v>
      </c>
      <c r="B15" s="1213" t="s">
        <v>493</v>
      </c>
      <c r="C15" s="1532" t="s">
        <v>427</v>
      </c>
      <c r="D15" s="1485"/>
      <c r="E15" s="1214"/>
      <c r="F15" s="1215"/>
      <c r="G15" s="1217"/>
      <c r="H15" s="1485"/>
      <c r="I15" s="1215"/>
      <c r="J15" s="1215"/>
      <c r="K15" s="1322"/>
      <c r="L15" s="1216"/>
      <c r="M15" s="1215"/>
      <c r="N15" s="1215"/>
      <c r="O15" s="1217"/>
      <c r="P15" s="1216"/>
      <c r="Q15" s="1215"/>
      <c r="R15" s="1215"/>
      <c r="S15" s="1217"/>
      <c r="T15" s="1485"/>
      <c r="U15" s="1215"/>
      <c r="V15" s="1215"/>
      <c r="W15" s="1217"/>
      <c r="X15" s="1216"/>
      <c r="Y15" s="1215"/>
      <c r="Z15" s="1215"/>
      <c r="AA15" s="1497"/>
      <c r="AB15" s="1485"/>
      <c r="AC15" s="1215"/>
      <c r="AD15" s="1222"/>
      <c r="AE15" s="1504"/>
    </row>
    <row r="16" spans="1:31" ht="14.25" x14ac:dyDescent="0.2">
      <c r="A16" s="1223"/>
      <c r="B16" s="1223" t="s">
        <v>274</v>
      </c>
      <c r="C16" s="1533" t="s">
        <v>275</v>
      </c>
      <c r="D16" s="1485">
        <v>9275</v>
      </c>
      <c r="E16" s="1215">
        <v>43.139318830000001</v>
      </c>
      <c r="F16" s="1215">
        <v>36.566031747000004</v>
      </c>
      <c r="G16" s="1217">
        <f>(F16/E16)*1000</f>
        <v>847.6265443851006</v>
      </c>
      <c r="H16" s="1485">
        <v>9483</v>
      </c>
      <c r="I16" s="1215">
        <v>44.966700000000003</v>
      </c>
      <c r="J16" s="1215">
        <f>39.8-0.28146-0.08529</f>
        <v>39.433249999999994</v>
      </c>
      <c r="K16" s="1322">
        <f>(J16/I16)*1000</f>
        <v>876.9433825475295</v>
      </c>
      <c r="L16" s="1216">
        <v>9630</v>
      </c>
      <c r="M16" s="1215">
        <v>24.834193589999998</v>
      </c>
      <c r="N16" s="1215">
        <v>22.997896664999999</v>
      </c>
      <c r="O16" s="1217">
        <f>(N16/M16)*1000</f>
        <v>926.05771883249622</v>
      </c>
      <c r="P16" s="1216">
        <v>9766</v>
      </c>
      <c r="Q16" s="1215">
        <v>49.11</v>
      </c>
      <c r="R16" s="1215">
        <v>44.451226319000007</v>
      </c>
      <c r="S16" s="1217">
        <f>(R16/Q16)*1000</f>
        <v>905.13594622276537</v>
      </c>
      <c r="T16" s="1485">
        <v>9817</v>
      </c>
      <c r="U16" s="1215">
        <v>13.608481749999999</v>
      </c>
      <c r="V16" s="1215">
        <v>13.600428119999998</v>
      </c>
      <c r="W16" s="1217">
        <f>(V16/U16)*1000</f>
        <v>999.40819041036661</v>
      </c>
      <c r="X16" s="1216">
        <v>9945.197500000002</v>
      </c>
      <c r="Y16" s="1215">
        <v>26.358342015266548</v>
      </c>
      <c r="Z16" s="1215">
        <v>26.342742895695075</v>
      </c>
      <c r="AA16" s="1497">
        <f>(Z16/Y16)*1000</f>
        <v>999.4081904103665</v>
      </c>
      <c r="AB16" s="1485">
        <v>10239.722939647285</v>
      </c>
      <c r="AC16" s="1215">
        <v>27.826800058053248</v>
      </c>
      <c r="AD16" s="1462">
        <v>26.034602710317536</v>
      </c>
      <c r="AE16" s="1502">
        <f>AD16/AC16*1000</f>
        <v>935.59455833955872</v>
      </c>
    </row>
    <row r="17" spans="1:31" ht="14.25" x14ac:dyDescent="0.2">
      <c r="A17" s="1223"/>
      <c r="B17" s="1223" t="s">
        <v>145</v>
      </c>
      <c r="C17" s="1533" t="s">
        <v>276</v>
      </c>
      <c r="D17" s="1485">
        <v>2352</v>
      </c>
      <c r="E17" s="1215">
        <v>6.14871386</v>
      </c>
      <c r="F17" s="1215">
        <v>4.9035461920000003</v>
      </c>
      <c r="G17" s="1217">
        <f>(F17/E17)*1000</f>
        <v>797.49136220172068</v>
      </c>
      <c r="H17" s="1485">
        <v>2538</v>
      </c>
      <c r="I17" s="1215">
        <v>6.6013000000000002</v>
      </c>
      <c r="J17" s="1215">
        <f>5.5497-0.042-0.01939</f>
        <v>5.4883100000000002</v>
      </c>
      <c r="K17" s="1322">
        <f>(J17/I17)*1000</f>
        <v>831.39836092890801</v>
      </c>
      <c r="L17" s="1216">
        <v>2558</v>
      </c>
      <c r="M17" s="1215">
        <v>3.7388586800000003</v>
      </c>
      <c r="N17" s="1215">
        <v>3.3417347930000001</v>
      </c>
      <c r="O17" s="1217">
        <f>(N17/M17)*1000</f>
        <v>893.78472924791038</v>
      </c>
      <c r="P17" s="1216">
        <v>2611</v>
      </c>
      <c r="Q17" s="1215">
        <v>7.46</v>
      </c>
      <c r="R17" s="1215">
        <v>6.509998766999999</v>
      </c>
      <c r="S17" s="1217">
        <f>(R17/Q17)*1000</f>
        <v>872.65399021447706</v>
      </c>
      <c r="T17" s="1485">
        <v>2654</v>
      </c>
      <c r="U17" s="1215">
        <v>2.2341519300000003</v>
      </c>
      <c r="V17" s="1215">
        <v>2.1687376449999998</v>
      </c>
      <c r="W17" s="1217">
        <f>(V17/U17)*1000</f>
        <v>970.72075353442926</v>
      </c>
      <c r="X17" s="1216">
        <v>2619.8025000000002</v>
      </c>
      <c r="Y17" s="1215">
        <v>4.3434463583763074</v>
      </c>
      <c r="Z17" s="1215">
        <v>4.2162735219394216</v>
      </c>
      <c r="AA17" s="1497">
        <f>(Z17/Y17)*1000</f>
        <v>970.72075353442926</v>
      </c>
      <c r="AB17" s="1485">
        <v>2697.387533691041</v>
      </c>
      <c r="AC17" s="1215">
        <v>4.5776259061189171</v>
      </c>
      <c r="AD17" s="1462">
        <v>3.5760823547954157</v>
      </c>
      <c r="AE17" s="1502">
        <f>AD17/AC17*1000</f>
        <v>781.20895593833109</v>
      </c>
    </row>
    <row r="18" spans="1:31" s="1197" customFormat="1" ht="25.5" x14ac:dyDescent="0.2">
      <c r="A18" s="1213">
        <v>5</v>
      </c>
      <c r="B18" s="1213" t="s">
        <v>428</v>
      </c>
      <c r="C18" s="1532" t="s">
        <v>429</v>
      </c>
      <c r="D18" s="1485"/>
      <c r="E18" s="1214"/>
      <c r="F18" s="1215"/>
      <c r="G18" s="1217"/>
      <c r="H18" s="1485"/>
      <c r="I18" s="1215"/>
      <c r="J18" s="1215"/>
      <c r="K18" s="1322"/>
      <c r="L18" s="1216"/>
      <c r="M18" s="1215"/>
      <c r="N18" s="1215"/>
      <c r="O18" s="1217"/>
      <c r="P18" s="1216"/>
      <c r="Q18" s="1215"/>
      <c r="R18" s="1215"/>
      <c r="S18" s="1217"/>
      <c r="T18" s="1485"/>
      <c r="U18" s="1215"/>
      <c r="V18" s="1215"/>
      <c r="W18" s="1217"/>
      <c r="X18" s="1216"/>
      <c r="Y18" s="1215"/>
      <c r="Z18" s="1215"/>
      <c r="AA18" s="1497"/>
      <c r="AB18" s="1485"/>
      <c r="AC18" s="1215"/>
      <c r="AD18" s="1222"/>
      <c r="AE18" s="1504"/>
    </row>
    <row r="19" spans="1:31" ht="25.5" x14ac:dyDescent="0.2">
      <c r="A19" s="1223"/>
      <c r="B19" s="1223" t="s">
        <v>146</v>
      </c>
      <c r="C19" s="1533" t="s">
        <v>626</v>
      </c>
      <c r="D19" s="1485">
        <v>923014</v>
      </c>
      <c r="E19" s="1215">
        <v>1839.7196892699999</v>
      </c>
      <c r="F19" s="1215">
        <v>1733.46</v>
      </c>
      <c r="G19" s="1217">
        <f>(F19/E19)*1000</f>
        <v>942.24136976423631</v>
      </c>
      <c r="H19" s="1485">
        <v>962122</v>
      </c>
      <c r="I19" s="1215">
        <v>1894.0815</v>
      </c>
      <c r="J19" s="1215">
        <f>1852.54-11.676-5.596+7.7408</f>
        <v>1843.0088000000001</v>
      </c>
      <c r="K19" s="1322">
        <f>(J19/I19)*1000</f>
        <v>973.03563759004044</v>
      </c>
      <c r="L19" s="1216">
        <v>982109</v>
      </c>
      <c r="M19" s="1215">
        <v>1069.91369571</v>
      </c>
      <c r="N19" s="1215">
        <v>1096.000611815</v>
      </c>
      <c r="O19" s="1217">
        <f>(N19/M19)*1000</f>
        <v>1024.3822620549677</v>
      </c>
      <c r="P19" s="1216">
        <v>1000527</v>
      </c>
      <c r="Q19" s="1215">
        <v>2029.89</v>
      </c>
      <c r="R19" s="1215">
        <v>2041.1109390562667</v>
      </c>
      <c r="S19" s="1217">
        <f>(R19/Q19)*1000</f>
        <v>1005.5278557243332</v>
      </c>
      <c r="T19" s="1485">
        <v>1010768</v>
      </c>
      <c r="U19" s="1215">
        <v>707.01024958000005</v>
      </c>
      <c r="V19" s="1215">
        <v>759.32391934600003</v>
      </c>
      <c r="W19" s="1217">
        <f>(V19/U19)*1000</f>
        <v>1073.99280250474</v>
      </c>
      <c r="X19" s="1216">
        <v>1022890.7304000001</v>
      </c>
      <c r="Y19" s="1215">
        <v>1366.4341268444441</v>
      </c>
      <c r="Z19" s="1215">
        <v>1467.5404173277818</v>
      </c>
      <c r="AA19" s="1497">
        <f>(Z19/Y19)*1000</f>
        <v>1073.9928025047398</v>
      </c>
      <c r="AB19" s="1485">
        <v>1069709.2687662931</v>
      </c>
      <c r="AC19" s="1215">
        <v>1457.8849098730132</v>
      </c>
      <c r="AD19" s="1462">
        <v>1558.5484936829853</v>
      </c>
      <c r="AE19" s="1502">
        <f>AD19/AC19*1000</f>
        <v>1069.0476889693168</v>
      </c>
    </row>
    <row r="20" spans="1:31" ht="15" x14ac:dyDescent="0.2">
      <c r="A20" s="1223"/>
      <c r="B20" s="1223" t="s">
        <v>155</v>
      </c>
      <c r="C20" s="1224" t="s">
        <v>276</v>
      </c>
      <c r="D20" s="1485">
        <v>123512</v>
      </c>
      <c r="E20" s="1215">
        <v>166.25162919999997</v>
      </c>
      <c r="F20" s="1215">
        <v>117.17</v>
      </c>
      <c r="G20" s="1217">
        <f>(F20/E20)*1000</f>
        <v>704.77504830370719</v>
      </c>
      <c r="H20" s="1485">
        <v>132715</v>
      </c>
      <c r="I20" s="1215">
        <v>189.571</v>
      </c>
      <c r="J20" s="1215">
        <f>170.05286-1.1884-0.6089</f>
        <v>168.25556</v>
      </c>
      <c r="K20" s="1322">
        <f>(J20/I20)*1000</f>
        <v>887.5595950857462</v>
      </c>
      <c r="L20" s="1216">
        <v>136763</v>
      </c>
      <c r="M20" s="1215">
        <v>107.69038737999999</v>
      </c>
      <c r="N20" s="1215">
        <v>102.73031089999999</v>
      </c>
      <c r="O20" s="1217">
        <f>(N20/M20)*1000</f>
        <v>953.9413256774933</v>
      </c>
      <c r="P20" s="1216">
        <v>143240</v>
      </c>
      <c r="Q20" s="1215">
        <v>210.928</v>
      </c>
      <c r="R20" s="1215">
        <v>197.73069508373243</v>
      </c>
      <c r="S20" s="1217">
        <f>(R20/Q20)*1000</f>
        <v>937.43218104629261</v>
      </c>
      <c r="T20" s="1485">
        <v>148174</v>
      </c>
      <c r="U20" s="1215">
        <v>94.264508449999994</v>
      </c>
      <c r="V20" s="1215">
        <v>92.38767348399999</v>
      </c>
      <c r="W20" s="1217">
        <f>(V20/U20)*1000</f>
        <v>980.08969656914383</v>
      </c>
      <c r="X20" s="1216">
        <v>151226.2696</v>
      </c>
      <c r="Y20" s="1215">
        <v>182.18460951229514</v>
      </c>
      <c r="Z20" s="1215">
        <v>178.55725865647329</v>
      </c>
      <c r="AA20" s="1497">
        <f>(Z20/Y20)*1000</f>
        <v>980.08969656914383</v>
      </c>
      <c r="AB20" s="1485">
        <v>156880.88003119925</v>
      </c>
      <c r="AC20" s="1215">
        <v>194.37760503863581</v>
      </c>
      <c r="AD20" s="1462">
        <v>183.74955782159233</v>
      </c>
      <c r="AE20" s="1502">
        <f>AD20/AC20*1000</f>
        <v>945.32267637040297</v>
      </c>
    </row>
    <row r="21" spans="1:31" s="1197" customFormat="1" ht="15" x14ac:dyDescent="0.2">
      <c r="A21" s="1213">
        <v>6</v>
      </c>
      <c r="B21" s="1213" t="s">
        <v>430</v>
      </c>
      <c r="C21" s="1532" t="s">
        <v>50</v>
      </c>
      <c r="D21" s="1485"/>
      <c r="E21" s="1218"/>
      <c r="F21" s="1215"/>
      <c r="G21" s="1217"/>
      <c r="H21" s="1485"/>
      <c r="I21" s="1215"/>
      <c r="J21" s="1521"/>
      <c r="K21" s="1322"/>
      <c r="L21" s="1216"/>
      <c r="M21" s="1215"/>
      <c r="N21" s="1215"/>
      <c r="O21" s="1217"/>
      <c r="P21" s="1216"/>
      <c r="Q21" s="1215"/>
      <c r="R21" s="1215"/>
      <c r="S21" s="1217"/>
      <c r="T21" s="1485"/>
      <c r="U21" s="1215"/>
      <c r="V21" s="1215"/>
      <c r="W21" s="1217"/>
      <c r="X21" s="1216"/>
      <c r="Y21" s="1215"/>
      <c r="Z21" s="1215"/>
      <c r="AA21" s="1497"/>
      <c r="AB21" s="1485"/>
      <c r="AC21" s="1215"/>
      <c r="AD21" s="1222"/>
      <c r="AE21" s="1504"/>
    </row>
    <row r="22" spans="1:31" s="1197" customFormat="1" ht="14.25" x14ac:dyDescent="0.2">
      <c r="A22" s="1213"/>
      <c r="B22" s="1223" t="s">
        <v>56</v>
      </c>
      <c r="C22" s="1532" t="s">
        <v>570</v>
      </c>
      <c r="D22" s="1485">
        <v>872229</v>
      </c>
      <c r="E22" s="1215">
        <v>6289.0390668999999</v>
      </c>
      <c r="F22" s="1215">
        <v>2103.15</v>
      </c>
      <c r="G22" s="1217">
        <f>(F22/E22)*1000</f>
        <v>334.41515907718588</v>
      </c>
      <c r="H22" s="1485">
        <v>904463</v>
      </c>
      <c r="I22" s="1215">
        <v>7202.3149999999996</v>
      </c>
      <c r="J22" s="1215">
        <f>2682.51-46.246-3.48</f>
        <v>2632.7840000000001</v>
      </c>
      <c r="K22" s="1322">
        <f>(J22/I22)*1000</f>
        <v>365.54691095849046</v>
      </c>
      <c r="L22" s="1216">
        <v>922874</v>
      </c>
      <c r="M22" s="1215">
        <v>3702.6430784999998</v>
      </c>
      <c r="N22" s="1215">
        <v>1444.0308006149999</v>
      </c>
      <c r="O22" s="1217">
        <f>(N22/M22)*1000</f>
        <v>390</v>
      </c>
      <c r="P22" s="1216">
        <v>933908</v>
      </c>
      <c r="Q22" s="1215">
        <v>6916.36</v>
      </c>
      <c r="R22" s="1215">
        <v>2687.3941499639996</v>
      </c>
      <c r="S22" s="1217">
        <f>(R22/Q22)*1000</f>
        <v>388.55614079718225</v>
      </c>
      <c r="T22" s="1485">
        <v>938441</v>
      </c>
      <c r="U22" s="1215">
        <v>3311.0270836700001</v>
      </c>
      <c r="V22" s="1215">
        <v>1308.3627007299999</v>
      </c>
      <c r="W22" s="1217">
        <f>(V22/U22)*1000</f>
        <v>395.15312550080017</v>
      </c>
      <c r="X22" s="1216">
        <v>953441</v>
      </c>
      <c r="Y22" s="1215">
        <v>6864.7752</v>
      </c>
      <c r="Z22" s="1215">
        <v>2712.6373761403806</v>
      </c>
      <c r="AA22" s="1497">
        <f>(Z22/Y22)*1000</f>
        <v>395.15312550080017</v>
      </c>
      <c r="AB22" s="1485">
        <v>978441</v>
      </c>
      <c r="AC22" s="1215">
        <v>7044.7752</v>
      </c>
      <c r="AD22" s="1462">
        <v>2958.8055840000002</v>
      </c>
      <c r="AE22" s="1502">
        <f>AD22/AC22*1000</f>
        <v>420.00000000000006</v>
      </c>
    </row>
    <row r="23" spans="1:31" s="1197" customFormat="1" ht="14.25" x14ac:dyDescent="0.2">
      <c r="A23" s="1213"/>
      <c r="B23" s="1223" t="s">
        <v>57</v>
      </c>
      <c r="C23" s="1532" t="s">
        <v>571</v>
      </c>
      <c r="D23" s="1485"/>
      <c r="E23" s="1215">
        <v>7.3407608908773311E-3</v>
      </c>
      <c r="F23" s="1215"/>
      <c r="G23" s="1217"/>
      <c r="H23" s="1485"/>
      <c r="I23" s="1215"/>
      <c r="J23" s="1215"/>
      <c r="K23" s="1322"/>
      <c r="L23" s="1216"/>
      <c r="M23" s="1215"/>
      <c r="N23" s="1215"/>
      <c r="O23" s="1217"/>
      <c r="P23" s="1216"/>
      <c r="Q23" s="1215"/>
      <c r="R23" s="1215"/>
      <c r="S23" s="1217"/>
      <c r="T23" s="1485"/>
      <c r="U23" s="1215"/>
      <c r="V23" s="1215"/>
      <c r="W23" s="1217"/>
      <c r="X23" s="1216"/>
      <c r="Y23" s="1215"/>
      <c r="Z23" s="1215"/>
      <c r="AA23" s="1497"/>
      <c r="AB23" s="1485"/>
      <c r="AC23" s="1215"/>
      <c r="AD23" s="1462"/>
      <c r="AE23" s="1504"/>
    </row>
    <row r="24" spans="1:31" s="1197" customFormat="1" ht="14.25" x14ac:dyDescent="0.2">
      <c r="A24" s="1213">
        <v>7</v>
      </c>
      <c r="B24" s="1213"/>
      <c r="C24" s="1532"/>
      <c r="D24" s="1485"/>
      <c r="E24" s="1215"/>
      <c r="F24" s="1215"/>
      <c r="G24" s="1217"/>
      <c r="H24" s="1485"/>
      <c r="I24" s="1215"/>
      <c r="J24" s="1215"/>
      <c r="K24" s="1322"/>
      <c r="L24" s="1216"/>
      <c r="M24" s="1215"/>
      <c r="N24" s="1215"/>
      <c r="O24" s="1217"/>
      <c r="P24" s="1216"/>
      <c r="Q24" s="1215"/>
      <c r="R24" s="1215"/>
      <c r="S24" s="1217"/>
      <c r="T24" s="1485"/>
      <c r="U24" s="1215"/>
      <c r="V24" s="1215"/>
      <c r="W24" s="1217"/>
      <c r="X24" s="1216"/>
      <c r="Y24" s="1215"/>
      <c r="Z24" s="1215"/>
      <c r="AA24" s="1497"/>
      <c r="AB24" s="1485"/>
      <c r="AC24" s="1215"/>
      <c r="AD24" s="1462"/>
      <c r="AE24" s="1504"/>
    </row>
    <row r="25" spans="1:31" s="1197" customFormat="1" ht="16.5" customHeight="1" x14ac:dyDescent="0.2">
      <c r="A25" s="1213">
        <v>8</v>
      </c>
      <c r="B25" s="1213" t="s">
        <v>628</v>
      </c>
      <c r="C25" s="1532" t="s">
        <v>51</v>
      </c>
      <c r="D25" s="1485">
        <v>454</v>
      </c>
      <c r="E25" s="1215">
        <v>0.94870686999999998</v>
      </c>
      <c r="F25" s="1215">
        <v>0.61</v>
      </c>
      <c r="G25" s="1217">
        <f>(F25/E25)*1000</f>
        <v>642.98048142098935</v>
      </c>
      <c r="H25" s="1485">
        <v>309</v>
      </c>
      <c r="I25" s="1215">
        <v>1.5262361499999999</v>
      </c>
      <c r="J25" s="1215">
        <f>0.9915-0.0069158-0.1815</f>
        <v>0.80308420000000003</v>
      </c>
      <c r="K25" s="1322">
        <f>(J25/I25)*1000</f>
        <v>526.18606891207503</v>
      </c>
      <c r="L25" s="1216">
        <v>298</v>
      </c>
      <c r="M25" s="1215">
        <v>0.63859655000000004</v>
      </c>
      <c r="N25" s="1215">
        <v>0.48458995899999996</v>
      </c>
      <c r="O25" s="1217">
        <f>(N25/M25)*1000</f>
        <v>758.83585496977696</v>
      </c>
      <c r="P25" s="1216">
        <v>255</v>
      </c>
      <c r="Q25" s="1215">
        <v>1.35</v>
      </c>
      <c r="R25" s="1215">
        <v>0.74815419500000013</v>
      </c>
      <c r="S25" s="1217">
        <f>(R25/Q25)*1000</f>
        <v>554.18829259259257</v>
      </c>
      <c r="T25" s="1485">
        <v>230</v>
      </c>
      <c r="U25" s="1215">
        <v>0.75036290000000005</v>
      </c>
      <c r="V25" s="1215">
        <v>0.48111454100000001</v>
      </c>
      <c r="W25" s="1217">
        <f>(V25/U25)*1000</f>
        <v>641.17581106421972</v>
      </c>
      <c r="X25" s="1216">
        <v>230</v>
      </c>
      <c r="Y25" s="1215">
        <v>1.5101596975112572</v>
      </c>
      <c r="Z25" s="1215">
        <v>0.96827786888827716</v>
      </c>
      <c r="AA25" s="1497">
        <f>(Z25/Y25)*1000</f>
        <v>641.17581106421983</v>
      </c>
      <c r="AB25" s="1485">
        <v>230</v>
      </c>
      <c r="AC25" s="1215">
        <v>1.5101596975112572</v>
      </c>
      <c r="AD25" s="1462">
        <v>0.83347788656672162</v>
      </c>
      <c r="AE25" s="1502">
        <f>AD25/AC25*1000</f>
        <v>551.91373994438663</v>
      </c>
    </row>
    <row r="26" spans="1:31" s="1197" customFormat="1" ht="16.5" customHeight="1" x14ac:dyDescent="0.2">
      <c r="A26" s="1213">
        <v>9</v>
      </c>
      <c r="B26" s="1213" t="s">
        <v>627</v>
      </c>
      <c r="C26" s="1532" t="s">
        <v>52</v>
      </c>
      <c r="D26" s="1487">
        <v>1550</v>
      </c>
      <c r="E26" s="1215">
        <v>4.5218573600000003</v>
      </c>
      <c r="F26" s="1215">
        <v>1.87</v>
      </c>
      <c r="G26" s="1217">
        <f>(F26/E26)*1000</f>
        <v>413.54687932924975</v>
      </c>
      <c r="H26" s="1485">
        <v>1651</v>
      </c>
      <c r="I26" s="1215">
        <v>5.0778999999999996</v>
      </c>
      <c r="J26" s="1215">
        <f>2.617-0.03344-0.21097</f>
        <v>2.3725899999999998</v>
      </c>
      <c r="K26" s="1322">
        <f>(J26/I26)*1000</f>
        <v>467.23842533330708</v>
      </c>
      <c r="L26" s="1216">
        <v>1682</v>
      </c>
      <c r="M26" s="1215">
        <v>3.1142539899999999</v>
      </c>
      <c r="N26" s="1215">
        <v>1.6593735459999999</v>
      </c>
      <c r="O26" s="1217">
        <f>(N26/M26)*1000</f>
        <v>532.83179577783892</v>
      </c>
      <c r="P26" s="1216">
        <v>1756</v>
      </c>
      <c r="Q26" s="1215">
        <v>5.67</v>
      </c>
      <c r="R26" s="1215">
        <v>2.8247498630000001</v>
      </c>
      <c r="S26" s="1217">
        <f>(R26/Q26)*1000</f>
        <v>498.19221569664904</v>
      </c>
      <c r="T26" s="1485">
        <v>1800</v>
      </c>
      <c r="U26" s="1215">
        <v>2.8162644700000001</v>
      </c>
      <c r="V26" s="1215">
        <v>1.7212702219999998</v>
      </c>
      <c r="W26" s="1217">
        <f>(V26/U26)*1000</f>
        <v>611.18912670868576</v>
      </c>
      <c r="X26" s="1216">
        <v>1844</v>
      </c>
      <c r="Y26" s="1215">
        <v>5.8281889158199789</v>
      </c>
      <c r="Z26" s="1215">
        <v>3.5621256937532548</v>
      </c>
      <c r="AA26" s="1497">
        <f>(Z26/Y26)*1000</f>
        <v>611.18912670868576</v>
      </c>
      <c r="AB26" s="1485">
        <v>1961.2743791641431</v>
      </c>
      <c r="AC26" s="1215">
        <v>6.1643328347777526</v>
      </c>
      <c r="AD26" s="1462">
        <v>3.4543487091046492</v>
      </c>
      <c r="AE26" s="1502">
        <f>AD26/AC26*1000</f>
        <v>560.37673527555251</v>
      </c>
    </row>
    <row r="27" spans="1:31" s="1197" customFormat="1" ht="24" customHeight="1" x14ac:dyDescent="0.2">
      <c r="A27" s="1213">
        <v>10</v>
      </c>
      <c r="B27" s="1213" t="s">
        <v>53</v>
      </c>
      <c r="C27" s="1532" t="s">
        <v>54</v>
      </c>
      <c r="D27" s="1485"/>
      <c r="E27" s="1215"/>
      <c r="F27" s="1215"/>
      <c r="G27" s="1217"/>
      <c r="H27" s="1485"/>
      <c r="I27" s="1215"/>
      <c r="J27" s="1215"/>
      <c r="K27" s="1322"/>
      <c r="L27" s="1216"/>
      <c r="M27" s="1215"/>
      <c r="N27" s="1215"/>
      <c r="O27" s="1217"/>
      <c r="P27" s="1216"/>
      <c r="Q27" s="1215"/>
      <c r="R27" s="1215"/>
      <c r="S27" s="1217"/>
      <c r="T27" s="1485"/>
      <c r="U27" s="1215"/>
      <c r="V27" s="1215"/>
      <c r="W27" s="1217"/>
      <c r="X27" s="1216"/>
      <c r="Y27" s="1215"/>
      <c r="Z27" s="1215"/>
      <c r="AA27" s="1497"/>
      <c r="AB27" s="1485"/>
      <c r="AC27" s="1215"/>
      <c r="AD27" s="1462"/>
      <c r="AE27" s="1504"/>
    </row>
    <row r="28" spans="1:31" ht="14.25" x14ac:dyDescent="0.2">
      <c r="A28" s="1223"/>
      <c r="B28" s="1223" t="s">
        <v>58</v>
      </c>
      <c r="C28" s="1533" t="s">
        <v>393</v>
      </c>
      <c r="D28" s="1485">
        <v>102934</v>
      </c>
      <c r="E28" s="1215">
        <v>865.43572033000009</v>
      </c>
      <c r="F28" s="1215">
        <v>645.71</v>
      </c>
      <c r="G28" s="1217">
        <f>(F28/E28)*1000</f>
        <v>746.10971656425704</v>
      </c>
      <c r="H28" s="1485">
        <v>106150</v>
      </c>
      <c r="I28" s="1215">
        <v>899.76098999999999</v>
      </c>
      <c r="J28" s="1215">
        <f>704.45-5.55-2.0699</f>
        <v>696.83010000000013</v>
      </c>
      <c r="K28" s="1322">
        <f>(J28/I28)*1000</f>
        <v>774.46133778260401</v>
      </c>
      <c r="L28" s="1216">
        <v>107336</v>
      </c>
      <c r="M28" s="1215">
        <v>450.5231943</v>
      </c>
      <c r="N28" s="1215">
        <v>380.292401015</v>
      </c>
      <c r="O28" s="1217">
        <f>(N28/M28)*1000</f>
        <v>844.11281333889815</v>
      </c>
      <c r="P28" s="1216">
        <v>108171</v>
      </c>
      <c r="Q28" s="1215">
        <v>864.62</v>
      </c>
      <c r="R28" s="1215">
        <v>710.51561419100005</v>
      </c>
      <c r="S28" s="1217">
        <f>(R28/Q28)*1000</f>
        <v>821.76634150378197</v>
      </c>
      <c r="T28" s="1485">
        <v>108892</v>
      </c>
      <c r="U28" s="1215">
        <v>288.38965037000003</v>
      </c>
      <c r="V28" s="1215">
        <v>262.67804993300001</v>
      </c>
      <c r="W28" s="1217">
        <f t="shared" ref="W28:W33" si="0">(V28/U28)*1000</f>
        <v>910.84423312690876</v>
      </c>
      <c r="X28" s="1216">
        <v>110327.7</v>
      </c>
      <c r="Y28" s="1215">
        <v>567.55641317193442</v>
      </c>
      <c r="Z28" s="1215">
        <v>516.95548591184956</v>
      </c>
      <c r="AA28" s="1497">
        <f t="shared" ref="AA28:AA33" si="1">(Z28/Y28)*1000</f>
        <v>910.84423312690876</v>
      </c>
      <c r="AB28" s="1485">
        <v>114684.17487461529</v>
      </c>
      <c r="AC28" s="1215">
        <v>574.42860048820364</v>
      </c>
      <c r="AD28" s="1462">
        <v>530.49957558692188</v>
      </c>
      <c r="AE28" s="1502">
        <f t="shared" ref="AE28:AE33" si="2">AD28/AC28*1000</f>
        <v>923.52570038478814</v>
      </c>
    </row>
    <row r="29" spans="1:31" ht="14.25" x14ac:dyDescent="0.2">
      <c r="A29" s="1223"/>
      <c r="B29" s="1223" t="s">
        <v>59</v>
      </c>
      <c r="C29" s="1533" t="s">
        <v>394</v>
      </c>
      <c r="D29" s="1485">
        <v>99110</v>
      </c>
      <c r="E29" s="1215">
        <v>319.97096648000002</v>
      </c>
      <c r="F29" s="1215">
        <v>215.6</v>
      </c>
      <c r="G29" s="1217">
        <f>(F29/E29)*1000</f>
        <v>673.81113471579988</v>
      </c>
      <c r="H29" s="1485">
        <v>104402</v>
      </c>
      <c r="I29" s="1215">
        <v>343.31670000000003</v>
      </c>
      <c r="J29" s="1215">
        <f>256.6357-2.148-1.10676</f>
        <v>253.38093999999998</v>
      </c>
      <c r="K29" s="1322">
        <f>(J29/I29)*1000</f>
        <v>738.03849332118125</v>
      </c>
      <c r="L29" s="1216">
        <v>107361</v>
      </c>
      <c r="M29" s="1215">
        <v>175.91244065000001</v>
      </c>
      <c r="N29" s="1215">
        <v>143.62978873</v>
      </c>
      <c r="O29" s="1217">
        <f>(N29/M29)*1000</f>
        <v>816.48454310158536</v>
      </c>
      <c r="P29" s="1216">
        <v>110695</v>
      </c>
      <c r="Q29" s="1215">
        <v>353.05</v>
      </c>
      <c r="R29" s="1215">
        <v>279.01423831699998</v>
      </c>
      <c r="S29" s="1217">
        <f>(R29/Q29)*1000</f>
        <v>790.29666709247965</v>
      </c>
      <c r="T29" s="1485">
        <v>112891</v>
      </c>
      <c r="U29" s="1215">
        <v>145.95179261999999</v>
      </c>
      <c r="V29" s="1215">
        <v>124.33647876199998</v>
      </c>
      <c r="W29" s="1217">
        <f t="shared" si="0"/>
        <v>851.90100464008947</v>
      </c>
      <c r="X29" s="1216">
        <v>114372.3</v>
      </c>
      <c r="Y29" s="1215">
        <v>287.23583084012319</v>
      </c>
      <c r="Z29" s="1215">
        <v>244.69649286133173</v>
      </c>
      <c r="AA29" s="1497">
        <f t="shared" si="1"/>
        <v>851.90100464008947</v>
      </c>
      <c r="AB29" s="1485">
        <v>118888.48271115923</v>
      </c>
      <c r="AC29" s="1215">
        <v>290.71292557826393</v>
      </c>
      <c r="AD29" s="1462">
        <v>297.08123186939866</v>
      </c>
      <c r="AE29" s="1502">
        <f t="shared" si="2"/>
        <v>1021.9058243745695</v>
      </c>
    </row>
    <row r="30" spans="1:31" s="1197" customFormat="1" ht="13.5" customHeight="1" x14ac:dyDescent="0.2">
      <c r="A30" s="1213">
        <v>11</v>
      </c>
      <c r="B30" s="1213" t="s">
        <v>152</v>
      </c>
      <c r="C30" s="1534" t="s">
        <v>36</v>
      </c>
      <c r="D30" s="1485">
        <v>74873</v>
      </c>
      <c r="E30" s="1215">
        <v>813.85211835999996</v>
      </c>
      <c r="F30" s="1215">
        <v>413.07</v>
      </c>
      <c r="G30" s="1217">
        <f>(F30/E30)*1000</f>
        <v>507.54921033120945</v>
      </c>
      <c r="H30" s="1485">
        <v>79322</v>
      </c>
      <c r="I30" s="1215">
        <v>1193.6422</v>
      </c>
      <c r="J30" s="1215">
        <f>764.425-7.807-149.7239</f>
        <v>606.89409999999998</v>
      </c>
      <c r="K30" s="1322">
        <f>(J30/I30)*1000</f>
        <v>508.43887724478907</v>
      </c>
      <c r="L30" s="1216">
        <v>81888</v>
      </c>
      <c r="M30" s="1215">
        <v>690.51696412000001</v>
      </c>
      <c r="N30" s="1215">
        <v>478.07188776599997</v>
      </c>
      <c r="O30" s="1217">
        <f>(N30/M30)*1000</f>
        <v>692.33909173434768</v>
      </c>
      <c r="P30" s="1216">
        <v>84209</v>
      </c>
      <c r="Q30" s="1215">
        <v>1317.38</v>
      </c>
      <c r="R30" s="1215">
        <v>719.52344830499976</v>
      </c>
      <c r="S30" s="1217">
        <f>(R30/Q30)*1000</f>
        <v>546.17760122743607</v>
      </c>
      <c r="T30" s="1485">
        <v>85978</v>
      </c>
      <c r="U30" s="1215">
        <v>621.41246410999997</v>
      </c>
      <c r="V30" s="1215">
        <v>461.98788088699996</v>
      </c>
      <c r="W30" s="1217">
        <f t="shared" si="0"/>
        <v>743.44804388284797</v>
      </c>
      <c r="X30" s="1216">
        <v>87747</v>
      </c>
      <c r="Y30" s="1215">
        <v>1292.3688972729956</v>
      </c>
      <c r="Z30" s="1215">
        <v>960.8091286526419</v>
      </c>
      <c r="AA30" s="1497">
        <f t="shared" si="1"/>
        <v>743.44804388284797</v>
      </c>
      <c r="AB30" s="1485">
        <v>93153.061231436426</v>
      </c>
      <c r="AC30" s="1215">
        <v>1561.5485111270984</v>
      </c>
      <c r="AD30" s="1462">
        <v>879.13294911764569</v>
      </c>
      <c r="AE30" s="1502">
        <f t="shared" si="2"/>
        <v>562.98792055016133</v>
      </c>
    </row>
    <row r="31" spans="1:31" s="1197" customFormat="1" ht="15.75" customHeight="1" x14ac:dyDescent="0.2">
      <c r="A31" s="1213">
        <v>12</v>
      </c>
      <c r="B31" s="1213" t="s">
        <v>792</v>
      </c>
      <c r="C31" s="1534" t="s">
        <v>37</v>
      </c>
      <c r="D31" s="1485">
        <v>63273</v>
      </c>
      <c r="E31" s="1215">
        <v>455.98376608000001</v>
      </c>
      <c r="F31" s="1215">
        <v>330.02</v>
      </c>
      <c r="G31" s="1217">
        <f>(F31/E31)*1000</f>
        <v>723.75383631990894</v>
      </c>
      <c r="H31" s="1485">
        <v>65136</v>
      </c>
      <c r="I31" s="1215">
        <v>499.92090000000002</v>
      </c>
      <c r="J31" s="1215">
        <f>394.5177-3.1967-38.1375</f>
        <v>353.18349999999998</v>
      </c>
      <c r="K31" s="1322">
        <f>(J31/I31)*1000</f>
        <v>706.47876494061359</v>
      </c>
      <c r="L31" s="1216">
        <v>66706</v>
      </c>
      <c r="M31" s="1215">
        <v>262.10486650999997</v>
      </c>
      <c r="N31" s="1215">
        <v>225.09375962300001</v>
      </c>
      <c r="O31" s="1217">
        <f>(N31/M31)*1000</f>
        <v>858.79275200108555</v>
      </c>
      <c r="P31" s="1216">
        <v>68016</v>
      </c>
      <c r="Q31" s="1215">
        <v>524.64</v>
      </c>
      <c r="R31" s="1215">
        <v>393.45840106399993</v>
      </c>
      <c r="S31" s="1217">
        <f>(R31/Q31)*1000</f>
        <v>749.9588309393107</v>
      </c>
      <c r="T31" s="1485">
        <v>68873</v>
      </c>
      <c r="U31" s="1215">
        <v>239.33409140000001</v>
      </c>
      <c r="V31" s="1215">
        <v>202.18990879100002</v>
      </c>
      <c r="W31" s="1217">
        <f t="shared" si="0"/>
        <v>844.80195699775686</v>
      </c>
      <c r="X31" s="1216">
        <v>69730</v>
      </c>
      <c r="Y31" s="1215">
        <v>496.0616681242941</v>
      </c>
      <c r="Z31" s="1215">
        <v>419.07386802297543</v>
      </c>
      <c r="AA31" s="1497">
        <f t="shared" si="1"/>
        <v>844.80195699775686</v>
      </c>
      <c r="AB31" s="1485">
        <v>72813.124539425204</v>
      </c>
      <c r="AC31" s="1215">
        <v>526.86306290843777</v>
      </c>
      <c r="AD31" s="1462">
        <v>408.81208287414984</v>
      </c>
      <c r="AE31" s="1502">
        <f t="shared" si="2"/>
        <v>775.93612392827072</v>
      </c>
    </row>
    <row r="32" spans="1:31" s="1197" customFormat="1" ht="15.75" customHeight="1" x14ac:dyDescent="0.2">
      <c r="A32" s="1225">
        <v>13</v>
      </c>
      <c r="B32" s="1225" t="s">
        <v>1222</v>
      </c>
      <c r="C32" s="1534" t="s">
        <v>1223</v>
      </c>
      <c r="D32" s="1485"/>
      <c r="E32" s="1215"/>
      <c r="F32" s="1215"/>
      <c r="G32" s="1217"/>
      <c r="H32" s="1485"/>
      <c r="I32" s="1215"/>
      <c r="J32" s="1215"/>
      <c r="K32" s="1322"/>
      <c r="L32" s="1216"/>
      <c r="M32" s="1215"/>
      <c r="N32" s="1215"/>
      <c r="O32" s="1217"/>
      <c r="P32" s="1216"/>
      <c r="Q32" s="1215"/>
      <c r="R32" s="1215"/>
      <c r="S32" s="1217"/>
      <c r="T32" s="1485">
        <v>27</v>
      </c>
      <c r="U32" s="1215">
        <v>1.13415E-3</v>
      </c>
      <c r="V32" s="1215">
        <v>1.1963384000000001E-2</v>
      </c>
      <c r="W32" s="1217">
        <f t="shared" si="0"/>
        <v>10548.32605916325</v>
      </c>
      <c r="X32" s="1216">
        <v>54</v>
      </c>
      <c r="Y32" s="1215">
        <v>2.2628541884725604E-3</v>
      </c>
      <c r="Z32" s="1215">
        <v>2.3869323804351816E-2</v>
      </c>
      <c r="AA32" s="1497">
        <f t="shared" si="1"/>
        <v>10548.32605916325</v>
      </c>
      <c r="AB32" s="1485">
        <v>100</v>
      </c>
      <c r="AC32" s="1463">
        <v>2.2628541884725604E-3</v>
      </c>
      <c r="AD32" s="1462">
        <v>2.3869323804351816E-2</v>
      </c>
      <c r="AE32" s="1502">
        <f t="shared" si="2"/>
        <v>10548.32605916325</v>
      </c>
    </row>
    <row r="33" spans="1:31" s="1197" customFormat="1" ht="14.25" x14ac:dyDescent="0.2">
      <c r="A33" s="1225">
        <v>15</v>
      </c>
      <c r="B33" s="1225" t="s">
        <v>153</v>
      </c>
      <c r="C33" s="1534" t="s">
        <v>38</v>
      </c>
      <c r="D33" s="1485">
        <v>620792</v>
      </c>
      <c r="E33" s="1215">
        <v>157.11645237999997</v>
      </c>
      <c r="F33" s="1215">
        <v>236.79</v>
      </c>
      <c r="G33" s="1217">
        <f>(F33/E33)*1000</f>
        <v>1507.0986928046373</v>
      </c>
      <c r="H33" s="1485">
        <v>693370</v>
      </c>
      <c r="I33" s="1215">
        <f>133.726+1.30893067</f>
        <v>135.03493066999999</v>
      </c>
      <c r="J33" s="1215">
        <f>206.45168-0.81119-0.31+1.566</f>
        <v>206.89649</v>
      </c>
      <c r="K33" s="1322">
        <f>(J33/I33)*1000</f>
        <v>1532.1701501488988</v>
      </c>
      <c r="L33" s="1216">
        <v>728371</v>
      </c>
      <c r="M33" s="1215">
        <v>96.662340440000008</v>
      </c>
      <c r="N33" s="1215">
        <v>185.782289652</v>
      </c>
      <c r="O33" s="1217">
        <f>(N33/M33)*1000</f>
        <v>1921.9717710778821</v>
      </c>
      <c r="P33" s="1216">
        <v>766515</v>
      </c>
      <c r="Q33" s="1215">
        <v>205.45</v>
      </c>
      <c r="R33" s="1215">
        <v>396.81826716300003</v>
      </c>
      <c r="S33" s="1217">
        <f>(R33/Q33)*1000</f>
        <v>1931.4590759941595</v>
      </c>
      <c r="T33" s="1485">
        <v>790525</v>
      </c>
      <c r="U33" s="1215">
        <v>86.747008359999995</v>
      </c>
      <c r="V33" s="1215">
        <v>192.07768169399998</v>
      </c>
      <c r="W33" s="1217">
        <f t="shared" si="0"/>
        <v>2214.2283097173545</v>
      </c>
      <c r="X33" s="1216">
        <v>814535</v>
      </c>
      <c r="Y33" s="1215">
        <v>173.32253915502884</v>
      </c>
      <c r="Z33" s="1215">
        <v>383.77567290915948</v>
      </c>
      <c r="AA33" s="1497">
        <f t="shared" si="1"/>
        <v>2214.2283097173545</v>
      </c>
      <c r="AB33" s="1485">
        <v>900461.94026998582</v>
      </c>
      <c r="AC33" s="1215">
        <v>197.90025025032855</v>
      </c>
      <c r="AD33" s="1462">
        <v>540.22403618504541</v>
      </c>
      <c r="AE33" s="1502">
        <f t="shared" si="2"/>
        <v>2729.7794495039984</v>
      </c>
    </row>
    <row r="34" spans="1:31" ht="15" thickBot="1" x14ac:dyDescent="0.25">
      <c r="A34" s="1226"/>
      <c r="B34" s="1226"/>
      <c r="C34" s="1299"/>
      <c r="D34" s="1549"/>
      <c r="E34" s="1227"/>
      <c r="F34" s="1228"/>
      <c r="G34" s="1297"/>
      <c r="H34" s="1511"/>
      <c r="I34" s="1228"/>
      <c r="J34" s="1228"/>
      <c r="K34" s="1512"/>
      <c r="L34" s="1513"/>
      <c r="M34" s="1229"/>
      <c r="N34" s="1229"/>
      <c r="O34" s="1262"/>
      <c r="P34" s="1513"/>
      <c r="Q34" s="1228"/>
      <c r="R34" s="1228"/>
      <c r="S34" s="1262"/>
      <c r="T34" s="1511"/>
      <c r="U34" s="1228"/>
      <c r="V34" s="1228"/>
      <c r="W34" s="1262"/>
      <c r="X34" s="1513"/>
      <c r="Y34" s="1229"/>
      <c r="Z34" s="1229"/>
      <c r="AA34" s="1466"/>
      <c r="AB34" s="1500"/>
      <c r="AC34" s="1312"/>
      <c r="AD34" s="1312"/>
      <c r="AE34" s="1501"/>
    </row>
    <row r="35" spans="1:31" ht="15.75" thickBot="1" x14ac:dyDescent="0.25">
      <c r="A35" s="1230"/>
      <c r="B35" s="1230"/>
      <c r="C35" s="1535" t="s">
        <v>396</v>
      </c>
      <c r="D35" s="1246">
        <f>SUM(D10:D33)</f>
        <v>11229840</v>
      </c>
      <c r="E35" s="1231">
        <f>SUM(E10:E33)</f>
        <v>17762.31157105089</v>
      </c>
      <c r="F35" s="1232">
        <f>SUM(F10:F33)</f>
        <v>9784.7731517510019</v>
      </c>
      <c r="G35" s="1519">
        <f>(F35/E35)*1000</f>
        <v>550.87273481331545</v>
      </c>
      <c r="H35" s="1246">
        <f>SUM(H10:H34)</f>
        <v>11794193</v>
      </c>
      <c r="I35" s="1235">
        <f>SUM(I10:I34)</f>
        <v>19551.915356819998</v>
      </c>
      <c r="J35" s="1235">
        <f>SUM(J10:J34)</f>
        <v>11302.707109994999</v>
      </c>
      <c r="K35" s="1519">
        <f>(J35/I35)*1000</f>
        <v>578.0869497295796</v>
      </c>
      <c r="L35" s="1233">
        <f>SUM(L9:L34)</f>
        <v>12079732</v>
      </c>
      <c r="M35" s="1234">
        <f>SUM(M10:M34)</f>
        <v>10513.150128159999</v>
      </c>
      <c r="N35" s="1235">
        <f>SUM(N10:N34)</f>
        <v>6831.4620874639995</v>
      </c>
      <c r="O35" s="1247">
        <f>(N35/M35)*1000</f>
        <v>649.80162978607018</v>
      </c>
      <c r="P35" s="1233">
        <f>SUM(P10:P34)</f>
        <v>12347488</v>
      </c>
      <c r="Q35" s="1235">
        <f>SUM(Q10:Q34)</f>
        <v>19996.157999999996</v>
      </c>
      <c r="R35" s="1235">
        <f>SUM(R10:R34)</f>
        <v>12577.466741032</v>
      </c>
      <c r="S35" s="1247">
        <f>(R35/Q35)*1000</f>
        <v>628.99416683104835</v>
      </c>
      <c r="T35" s="1246">
        <f>SUM(T10:T34)</f>
        <v>12538695</v>
      </c>
      <c r="U35" s="1235">
        <f>SUM(U10:U34)</f>
        <v>9449.4604967600008</v>
      </c>
      <c r="V35" s="1235">
        <f>SUM(V10:V34)</f>
        <v>6161.8597852740004</v>
      </c>
      <c r="W35" s="1247">
        <f>(V35/U35)*1000</f>
        <v>652.08588229843997</v>
      </c>
      <c r="X35" s="1233">
        <f>SUM(X10:X34)</f>
        <v>12741212</v>
      </c>
      <c r="Y35" s="1234">
        <f>SUM(Y10:Y34)</f>
        <v>18899.906746506953</v>
      </c>
      <c r="Z35" s="1235">
        <f>SUM(Z10:Z34)</f>
        <v>12245.024968854934</v>
      </c>
      <c r="AA35" s="1499">
        <f>(Z35/Y35)*1000</f>
        <v>647.88811569760981</v>
      </c>
      <c r="AB35" s="1246">
        <f>SUM(AB10:AB34)</f>
        <v>13340861.317276618</v>
      </c>
      <c r="AC35" s="1234">
        <f>SUM(AC10:AC34)</f>
        <v>19930.350615427389</v>
      </c>
      <c r="AD35" s="1235">
        <f>SUM(AD10:AD34)</f>
        <v>13488.457924791157</v>
      </c>
      <c r="AE35" s="1247">
        <f>(AD35/AC35)*1000</f>
        <v>676.77976093156201</v>
      </c>
    </row>
    <row r="36" spans="1:31" s="1197" customFormat="1" ht="25.5" x14ac:dyDescent="0.2">
      <c r="A36" s="1237">
        <v>16</v>
      </c>
      <c r="B36" s="1237" t="s">
        <v>397</v>
      </c>
      <c r="C36" s="1536" t="s">
        <v>232</v>
      </c>
      <c r="D36" s="1269">
        <v>236</v>
      </c>
      <c r="E36" s="1238">
        <v>679.42793164</v>
      </c>
      <c r="F36" s="1238">
        <v>361.55</v>
      </c>
      <c r="G36" s="1257">
        <f>(F36/E36)*1000</f>
        <v>532.13885264812757</v>
      </c>
      <c r="H36" s="1269">
        <v>248</v>
      </c>
      <c r="I36" s="1238">
        <v>726.15099999999995</v>
      </c>
      <c r="J36" s="1238">
        <v>403.47</v>
      </c>
      <c r="K36" s="1514">
        <f>(J36/I36)*1000</f>
        <v>555.6282371022005</v>
      </c>
      <c r="L36" s="1515">
        <v>254</v>
      </c>
      <c r="M36" s="1238">
        <v>372.10768286000001</v>
      </c>
      <c r="N36" s="1238">
        <v>226.58436835999998</v>
      </c>
      <c r="O36" s="1257">
        <f>(N36/M36)*1000</f>
        <v>608.92149986929724</v>
      </c>
      <c r="P36" s="1515">
        <v>268</v>
      </c>
      <c r="Q36" s="1238">
        <v>762.04</v>
      </c>
      <c r="R36" s="1238">
        <v>438.4690737529998</v>
      </c>
      <c r="S36" s="1257">
        <f>(R36/Q36)*1000</f>
        <v>575.38852783712116</v>
      </c>
      <c r="T36" s="1516">
        <v>274</v>
      </c>
      <c r="U36" s="1238">
        <v>395.54800845</v>
      </c>
      <c r="V36" s="1238">
        <v>235.14852596</v>
      </c>
      <c r="W36" s="1257">
        <f>(V36/U36)*1000</f>
        <v>594.48795326123957</v>
      </c>
      <c r="X36" s="1515">
        <v>280</v>
      </c>
      <c r="Y36" s="1238">
        <v>799.27563785501297</v>
      </c>
      <c r="Z36" s="1238">
        <v>475.15973803999839</v>
      </c>
      <c r="AA36" s="1465">
        <f>(Z36/Y36)*1000</f>
        <v>594.48795326123957</v>
      </c>
      <c r="AB36" s="1269">
        <v>302.58064516129031</v>
      </c>
      <c r="AC36" s="1238">
        <v>835.16290848366816</v>
      </c>
      <c r="AD36" s="1517">
        <v>538.21038752166362</v>
      </c>
      <c r="AE36" s="1518">
        <f>AD36/AC36*1000</f>
        <v>644.43760858446751</v>
      </c>
    </row>
    <row r="37" spans="1:31" s="1197" customFormat="1" ht="23.25" customHeight="1" x14ac:dyDescent="0.2">
      <c r="A37" s="1213">
        <v>17</v>
      </c>
      <c r="B37" s="1213" t="s">
        <v>233</v>
      </c>
      <c r="C37" s="1532" t="s">
        <v>234</v>
      </c>
      <c r="D37" s="1485"/>
      <c r="E37" s="1215"/>
      <c r="F37" s="1215"/>
      <c r="G37" s="1257"/>
      <c r="H37" s="1485"/>
      <c r="I37" s="1215"/>
      <c r="J37" s="1215"/>
      <c r="K37" s="1322"/>
      <c r="L37" s="1216"/>
      <c r="M37" s="1215"/>
      <c r="N37" s="1215"/>
      <c r="O37" s="1217"/>
      <c r="P37" s="1216"/>
      <c r="Q37" s="1215"/>
      <c r="R37" s="1215"/>
      <c r="S37" s="1217"/>
      <c r="T37" s="1486"/>
      <c r="U37" s="1215"/>
      <c r="V37" s="1215"/>
      <c r="W37" s="1217"/>
      <c r="X37" s="1216"/>
      <c r="Y37" s="1215"/>
      <c r="Z37" s="1215"/>
      <c r="AA37" s="1497"/>
      <c r="AB37" s="1485"/>
      <c r="AC37" s="1215"/>
      <c r="AD37" s="1462"/>
      <c r="AE37" s="1504"/>
    </row>
    <row r="38" spans="1:31" ht="14.25" x14ac:dyDescent="0.2">
      <c r="A38" s="1239"/>
      <c r="B38" s="1223" t="s">
        <v>60</v>
      </c>
      <c r="C38" s="1533" t="s">
        <v>393</v>
      </c>
      <c r="D38" s="1485">
        <v>3842</v>
      </c>
      <c r="E38" s="1215">
        <v>2879.2712315799999</v>
      </c>
      <c r="F38" s="1215">
        <v>2605.9899999999998</v>
      </c>
      <c r="G38" s="1257">
        <f>(F38/E38)*1000</f>
        <v>905.0866661734965</v>
      </c>
      <c r="H38" s="1485">
        <v>3905</v>
      </c>
      <c r="I38" s="1215">
        <v>2639.8701799999999</v>
      </c>
      <c r="J38" s="1215">
        <f>2418.1022-14.945-7.1576+5.239-8.55-29.92-10.29-44.17-3.66</f>
        <v>2304.6485999999995</v>
      </c>
      <c r="K38" s="1322">
        <f>(J38/I38)*1000</f>
        <v>873.01588444019603</v>
      </c>
      <c r="L38" s="1216">
        <v>3954</v>
      </c>
      <c r="M38" s="1215">
        <v>1223.79144769</v>
      </c>
      <c r="N38" s="1215">
        <v>1261.6108784979999</v>
      </c>
      <c r="O38" s="1217">
        <f>(N38/M38)*1000</f>
        <v>1030.9034933030355</v>
      </c>
      <c r="P38" s="1216">
        <v>3996</v>
      </c>
      <c r="Q38" s="1215">
        <v>2354.83</v>
      </c>
      <c r="R38" s="1215">
        <v>2175.1256403360003</v>
      </c>
      <c r="S38" s="1217">
        <f>(R38/Q38)*1000</f>
        <v>923.68690747782239</v>
      </c>
      <c r="T38" s="1486">
        <v>4028</v>
      </c>
      <c r="U38" s="1215">
        <v>846.40763750999997</v>
      </c>
      <c r="V38" s="1215">
        <v>1001.3785888440001</v>
      </c>
      <c r="W38" s="1217">
        <f>(V38/U38)*1000</f>
        <v>1183.0925720258156</v>
      </c>
      <c r="X38" s="1216">
        <v>4093.8765000000003</v>
      </c>
      <c r="Y38" s="1215">
        <v>1613.4784275227348</v>
      </c>
      <c r="Z38" s="1215">
        <v>1908.8943427260408</v>
      </c>
      <c r="AA38" s="1497">
        <f>(Z38/Y38)*1000</f>
        <v>1183.0925720258156</v>
      </c>
      <c r="AB38" s="1485">
        <v>4302.6589819379515</v>
      </c>
      <c r="AC38" s="1215">
        <v>1613.4735870874522</v>
      </c>
      <c r="AD38" s="1462">
        <v>1909.2255602600394</v>
      </c>
      <c r="AE38" s="1502">
        <f>AD38/AC38*1000</f>
        <v>1183.3014035925196</v>
      </c>
    </row>
    <row r="39" spans="1:31" ht="14.25" x14ac:dyDescent="0.2">
      <c r="A39" s="1239"/>
      <c r="B39" s="1223" t="s">
        <v>20</v>
      </c>
      <c r="C39" s="1533" t="s">
        <v>394</v>
      </c>
      <c r="D39" s="1485">
        <v>2801</v>
      </c>
      <c r="E39" s="1215">
        <v>1591.3179851499999</v>
      </c>
      <c r="F39" s="1215">
        <v>1391.84</v>
      </c>
      <c r="G39" s="1257">
        <f>(F39/E39)*1000</f>
        <v>874.64605628070194</v>
      </c>
      <c r="H39" s="1485">
        <v>3154</v>
      </c>
      <c r="I39" s="1215">
        <f>1846.653+18.25+8.19</f>
        <v>1873.0930000000001</v>
      </c>
      <c r="J39" s="1215">
        <f>1628.05-10.92-3.3658-5.74-44.21-14.12-58.88-4.53</f>
        <v>1486.2841999999998</v>
      </c>
      <c r="K39" s="1322">
        <f>(J39/I39)*1000</f>
        <v>793.4919408699941</v>
      </c>
      <c r="L39" s="1216">
        <v>3283</v>
      </c>
      <c r="M39" s="1215">
        <v>950.60554417999992</v>
      </c>
      <c r="N39" s="1215">
        <v>871.03629846599995</v>
      </c>
      <c r="O39" s="1217">
        <f>(N39/M39)*1000</f>
        <v>916.29625326597784</v>
      </c>
      <c r="P39" s="1216">
        <v>3423</v>
      </c>
      <c r="Q39" s="1215">
        <v>1818.2292109999999</v>
      </c>
      <c r="R39" s="1215">
        <v>1530.6172446579999</v>
      </c>
      <c r="S39" s="1217">
        <f>(R39/Q39)*1000</f>
        <v>841.81754170376712</v>
      </c>
      <c r="T39" s="1486">
        <v>3514</v>
      </c>
      <c r="U39" s="1215">
        <v>663.08752476999996</v>
      </c>
      <c r="V39" s="1215">
        <v>664.24453005999999</v>
      </c>
      <c r="W39" s="1217">
        <f>(V39/U39)*1000</f>
        <v>1001.7448756714302</v>
      </c>
      <c r="X39" s="1216">
        <v>3571.1235000000001</v>
      </c>
      <c r="Y39" s="1215">
        <v>1264.019627815753</v>
      </c>
      <c r="Z39" s="1215">
        <v>1266.2251849125391</v>
      </c>
      <c r="AA39" s="1497">
        <f>(Z39/Y39)*1000</f>
        <v>1001.7448756714305</v>
      </c>
      <c r="AB39" s="1485">
        <v>3753.2462454313645</v>
      </c>
      <c r="AC39" s="1215">
        <v>1264.0158357568694</v>
      </c>
      <c r="AD39" s="1462">
        <v>1262.8254167992861</v>
      </c>
      <c r="AE39" s="1502">
        <f>AD39/AC39*1000</f>
        <v>999.0582246488467</v>
      </c>
    </row>
    <row r="40" spans="1:31" ht="14.25" customHeight="1" x14ac:dyDescent="0.2">
      <c r="A40" s="1239">
        <v>18</v>
      </c>
      <c r="B40" s="1223" t="s">
        <v>233</v>
      </c>
      <c r="C40" s="1533" t="s">
        <v>235</v>
      </c>
      <c r="D40" s="1485"/>
      <c r="E40" s="1240"/>
      <c r="F40" s="1215"/>
      <c r="G40" s="1257"/>
      <c r="H40" s="1485"/>
      <c r="I40" s="1215"/>
      <c r="J40" s="1215"/>
      <c r="K40" s="1322"/>
      <c r="L40" s="1216"/>
      <c r="M40" s="1215"/>
      <c r="N40" s="1215"/>
      <c r="O40" s="1217"/>
      <c r="P40" s="1216"/>
      <c r="Q40" s="1215"/>
      <c r="R40" s="1215"/>
      <c r="S40" s="1217"/>
      <c r="T40" s="1486"/>
      <c r="U40" s="1215"/>
      <c r="V40" s="1215"/>
      <c r="W40" s="1217"/>
      <c r="X40" s="1216"/>
      <c r="Y40" s="1215"/>
      <c r="Z40" s="1215"/>
      <c r="AA40" s="1497"/>
      <c r="AB40" s="1485"/>
      <c r="AC40" s="1215"/>
      <c r="AD40" s="1462"/>
      <c r="AE40" s="1210"/>
    </row>
    <row r="41" spans="1:31" s="1197" customFormat="1" ht="14.25" customHeight="1" x14ac:dyDescent="0.2">
      <c r="A41" s="1237">
        <v>19</v>
      </c>
      <c r="B41" s="1213" t="s">
        <v>236</v>
      </c>
      <c r="C41" s="1532" t="s">
        <v>159</v>
      </c>
      <c r="D41" s="1485"/>
      <c r="E41" s="1218"/>
      <c r="F41" s="1215"/>
      <c r="G41" s="1257"/>
      <c r="H41" s="1485"/>
      <c r="I41" s="1215"/>
      <c r="J41" s="1215"/>
      <c r="K41" s="1322"/>
      <c r="L41" s="1216"/>
      <c r="M41" s="1215"/>
      <c r="N41" s="1215"/>
      <c r="O41" s="1217"/>
      <c r="P41" s="1216"/>
      <c r="Q41" s="1215"/>
      <c r="R41" s="1215"/>
      <c r="S41" s="1217"/>
      <c r="T41" s="1486"/>
      <c r="U41" s="1215"/>
      <c r="V41" s="1215"/>
      <c r="W41" s="1217"/>
      <c r="X41" s="1216"/>
      <c r="Y41" s="1215"/>
      <c r="Z41" s="1215"/>
      <c r="AA41" s="1497"/>
      <c r="AB41" s="1485"/>
      <c r="AC41" s="1215"/>
      <c r="AD41" s="1462"/>
      <c r="AE41" s="1504"/>
    </row>
    <row r="42" spans="1:31" s="1197" customFormat="1" ht="14.25" customHeight="1" x14ac:dyDescent="0.2">
      <c r="A42" s="1237"/>
      <c r="B42" s="1223" t="s">
        <v>21</v>
      </c>
      <c r="C42" s="1533" t="s">
        <v>393</v>
      </c>
      <c r="D42" s="1485">
        <v>5642</v>
      </c>
      <c r="E42" s="1215">
        <v>2379.4336872399999</v>
      </c>
      <c r="F42" s="1215">
        <v>2569.5100000000002</v>
      </c>
      <c r="G42" s="1257">
        <f>(F42/E42)*1000</f>
        <v>1079.8830048424159</v>
      </c>
      <c r="H42" s="1485">
        <v>6174</v>
      </c>
      <c r="I42" s="1215">
        <v>2271.7179999999998</v>
      </c>
      <c r="J42" s="1215">
        <f>2566.8547-12.546-5.5-9.71-2.65-0.71-37.79-2.44</f>
        <v>2495.5086999999999</v>
      </c>
      <c r="K42" s="1322">
        <f>(J42/I42)*1000</f>
        <v>1098.5116550557773</v>
      </c>
      <c r="L42" s="1216">
        <v>6567</v>
      </c>
      <c r="M42" s="1215">
        <v>1124.57648967</v>
      </c>
      <c r="N42" s="1215">
        <v>1456.312438255</v>
      </c>
      <c r="O42" s="1217">
        <f>(N42/M42)*1000</f>
        <v>1294.9874478367815</v>
      </c>
      <c r="P42" s="1216">
        <v>6848</v>
      </c>
      <c r="Q42" s="1215">
        <v>2174.2600000000002</v>
      </c>
      <c r="R42" s="1215">
        <v>2616.1595222250003</v>
      </c>
      <c r="S42" s="1217">
        <f>(R42/Q42)*1000</f>
        <v>1203.2413429051724</v>
      </c>
      <c r="T42" s="1486">
        <v>6986</v>
      </c>
      <c r="U42" s="1215">
        <v>698.06676524</v>
      </c>
      <c r="V42" s="1215">
        <v>943.29654160300004</v>
      </c>
      <c r="W42" s="1217">
        <f>(V42/U42)*1000</f>
        <v>1351.298455354322</v>
      </c>
      <c r="X42" s="1216">
        <v>7139.9014999999999</v>
      </c>
      <c r="Y42" s="1215">
        <v>1298.8405146205159</v>
      </c>
      <c r="Z42" s="1215">
        <v>1755.1211811583159</v>
      </c>
      <c r="AA42" s="1497">
        <f>(Z42/Y42)*1000</f>
        <v>1351.2984553543222</v>
      </c>
      <c r="AB42" s="1485">
        <v>7912.0670666715769</v>
      </c>
      <c r="AC42" s="1215">
        <v>1298.8444111420597</v>
      </c>
      <c r="AD42" s="1462">
        <v>1945.3442618451522</v>
      </c>
      <c r="AE42" s="1502">
        <f>AD42/AC42*1000</f>
        <v>1497.7500346901691</v>
      </c>
    </row>
    <row r="43" spans="1:31" s="1197" customFormat="1" ht="14.25" x14ac:dyDescent="0.2">
      <c r="A43" s="1237"/>
      <c r="B43" s="1223" t="s">
        <v>22</v>
      </c>
      <c r="C43" s="1533" t="s">
        <v>394</v>
      </c>
      <c r="D43" s="1485">
        <v>511</v>
      </c>
      <c r="E43" s="1215">
        <v>182.88677661000003</v>
      </c>
      <c r="F43" s="1215">
        <v>152.63</v>
      </c>
      <c r="G43" s="1257">
        <f>(F43/E43)*1000</f>
        <v>834.56006404158131</v>
      </c>
      <c r="H43" s="1485">
        <v>613</v>
      </c>
      <c r="I43" s="1215">
        <v>176.69300000000001</v>
      </c>
      <c r="J43" s="1215">
        <f>182.336-0.976-0.1932-0.5-0.61-0.16-1-0.06</f>
        <v>178.83680000000001</v>
      </c>
      <c r="K43" s="1322">
        <f>(J43/I43)*1000</f>
        <v>1012.1329084909985</v>
      </c>
      <c r="L43" s="1216">
        <v>637</v>
      </c>
      <c r="M43" s="1215">
        <v>90.050083939999993</v>
      </c>
      <c r="N43" s="1215">
        <v>97.035283976999992</v>
      </c>
      <c r="O43" s="1217">
        <f>(N43/M43)*1000</f>
        <v>1077.570166860191</v>
      </c>
      <c r="P43" s="1216">
        <v>673</v>
      </c>
      <c r="Q43" s="1215">
        <v>171.36</v>
      </c>
      <c r="R43" s="1215">
        <v>170.60073847000001</v>
      </c>
      <c r="S43" s="1217">
        <f>(R43/Q43)*1000</f>
        <v>995.56920208916904</v>
      </c>
      <c r="T43" s="1486">
        <v>704</v>
      </c>
      <c r="U43" s="1215">
        <v>49.662130920000003</v>
      </c>
      <c r="V43" s="1215">
        <v>61.342401592999998</v>
      </c>
      <c r="W43" s="1217">
        <f>(V43/U43)*1000</f>
        <v>1235.1947138920714</v>
      </c>
      <c r="X43" s="1216">
        <v>719.09849999999994</v>
      </c>
      <c r="Y43" s="1215">
        <v>92.401868129503683</v>
      </c>
      <c r="Z43" s="1215">
        <v>114.13429906731521</v>
      </c>
      <c r="AA43" s="1497">
        <f>(Z43/Y43)*1000</f>
        <v>1235.1947138920714</v>
      </c>
      <c r="AB43" s="1485">
        <v>796.86751414468824</v>
      </c>
      <c r="AC43" s="1215">
        <v>92.402145335108059</v>
      </c>
      <c r="AD43" s="1462">
        <v>111.08746896662883</v>
      </c>
      <c r="AE43" s="1502">
        <f>AD43/AC43*1000</f>
        <v>1202.2174221578523</v>
      </c>
    </row>
    <row r="44" spans="1:31" s="1197" customFormat="1" ht="15" customHeight="1" x14ac:dyDescent="0.2">
      <c r="A44" s="1237">
        <v>20</v>
      </c>
      <c r="B44" s="1213" t="s">
        <v>666</v>
      </c>
      <c r="C44" s="1533"/>
      <c r="D44" s="1485"/>
      <c r="E44" s="1218"/>
      <c r="F44" s="1215"/>
      <c r="G44" s="1257"/>
      <c r="H44" s="1485"/>
      <c r="I44" s="1215"/>
      <c r="J44" s="1215"/>
      <c r="K44" s="1322"/>
      <c r="L44" s="1216"/>
      <c r="M44" s="1215"/>
      <c r="N44" s="1215"/>
      <c r="O44" s="1217"/>
      <c r="P44" s="1216"/>
      <c r="Q44" s="1215"/>
      <c r="R44" s="1215"/>
      <c r="S44" s="1217"/>
      <c r="T44" s="1486"/>
      <c r="U44" s="1215"/>
      <c r="V44" s="1215"/>
      <c r="W44" s="1217"/>
      <c r="X44" s="1216"/>
      <c r="Y44" s="1215"/>
      <c r="Z44" s="1215"/>
      <c r="AA44" s="1497"/>
      <c r="AB44" s="1485"/>
      <c r="AC44" s="1215"/>
      <c r="AD44" s="1462"/>
      <c r="AE44" s="1504"/>
    </row>
    <row r="45" spans="1:31" s="1197" customFormat="1" ht="14.25" customHeight="1" x14ac:dyDescent="0.2">
      <c r="A45" s="1237"/>
      <c r="B45" s="1223" t="s">
        <v>664</v>
      </c>
      <c r="C45" s="1533"/>
      <c r="D45" s="1485">
        <v>255</v>
      </c>
      <c r="E45" s="1215">
        <v>150.59160473</v>
      </c>
      <c r="F45" s="1215">
        <v>113.64</v>
      </c>
      <c r="G45" s="1257">
        <f>(F45/E45)*1000</f>
        <v>754.62374017295599</v>
      </c>
      <c r="H45" s="1485">
        <v>285</v>
      </c>
      <c r="I45" s="1215">
        <v>156.60309000000001</v>
      </c>
      <c r="J45" s="1215">
        <f>125.99-0.94788-0.8475</f>
        <v>124.19462</v>
      </c>
      <c r="K45" s="1322">
        <f>(J45/I45)*1000</f>
        <v>793.05344485859121</v>
      </c>
      <c r="L45" s="1216">
        <v>300</v>
      </c>
      <c r="M45" s="1215">
        <v>85.472207330000003</v>
      </c>
      <c r="N45" s="1215">
        <v>73.041693625999997</v>
      </c>
      <c r="O45" s="1217">
        <f>(N45/M45)*1000</f>
        <v>854.56660015802584</v>
      </c>
      <c r="P45" s="1216">
        <v>318</v>
      </c>
      <c r="Q45" s="1215">
        <v>161.84</v>
      </c>
      <c r="R45" s="1215">
        <v>133.91408103200001</v>
      </c>
      <c r="S45" s="1217">
        <f>(R45/Q45)*1000</f>
        <v>827.44736178942173</v>
      </c>
      <c r="T45" s="1486">
        <v>335</v>
      </c>
      <c r="U45" s="1215">
        <v>61.375155749999998</v>
      </c>
      <c r="V45" s="1215">
        <v>55.399917644000006</v>
      </c>
      <c r="W45" s="1217">
        <f>(V45/U45)*1000</f>
        <v>902.64402537178091</v>
      </c>
      <c r="X45" s="1216">
        <v>344.72319999999996</v>
      </c>
      <c r="Y45" s="1215">
        <v>121.41278104148068</v>
      </c>
      <c r="Z45" s="1215">
        <v>109.59252141086478</v>
      </c>
      <c r="AA45" s="1497">
        <f>(Z45/Y45)*1000</f>
        <v>902.64402537178091</v>
      </c>
      <c r="AB45" s="1485">
        <v>378.83169604221632</v>
      </c>
      <c r="AC45" s="1215">
        <v>130.12186247618104</v>
      </c>
      <c r="AD45" s="1462">
        <v>117.13747793476514</v>
      </c>
      <c r="AE45" s="1502">
        <f>AD45/AC45*1000</f>
        <v>900.21365899375519</v>
      </c>
    </row>
    <row r="46" spans="1:31" s="1197" customFormat="1" ht="14.25" customHeight="1" x14ac:dyDescent="0.2">
      <c r="A46" s="1237"/>
      <c r="B46" s="1223" t="s">
        <v>665</v>
      </c>
      <c r="C46" s="1533"/>
      <c r="D46" s="1485">
        <v>421</v>
      </c>
      <c r="E46" s="1215">
        <v>161.79839788999999</v>
      </c>
      <c r="F46" s="1215">
        <v>148.31</v>
      </c>
      <c r="G46" s="1257">
        <f>(F46/E46)*1000</f>
        <v>916.63453986009074</v>
      </c>
      <c r="H46" s="1485">
        <v>473</v>
      </c>
      <c r="I46" s="1215">
        <v>164.84224</v>
      </c>
      <c r="J46" s="1215">
        <f>156.939-0.94759-0.28609-0.43-1.94-0.14</f>
        <v>153.19532000000001</v>
      </c>
      <c r="K46" s="1322">
        <f>(J46/I46)*1000</f>
        <v>929.34505136547534</v>
      </c>
      <c r="L46" s="1216">
        <v>491</v>
      </c>
      <c r="M46" s="1215">
        <v>87.220228509999998</v>
      </c>
      <c r="N46" s="1215">
        <v>89.971973941000002</v>
      </c>
      <c r="O46" s="1217">
        <f>(N46/M46)*1000</f>
        <v>1031.5493948824558</v>
      </c>
      <c r="P46" s="1216">
        <v>515</v>
      </c>
      <c r="Q46" s="1215">
        <v>169.68</v>
      </c>
      <c r="R46" s="1215">
        <v>166.06112213599999</v>
      </c>
      <c r="S46" s="1217">
        <f>(R46/Q46)*1000</f>
        <v>978.67233696369624</v>
      </c>
      <c r="T46" s="1486">
        <v>523</v>
      </c>
      <c r="U46" s="1215">
        <v>60.165962479999997</v>
      </c>
      <c r="V46" s="1215">
        <v>63.832194815999998</v>
      </c>
      <c r="W46" s="1217">
        <f>(V46/U46)*1000</f>
        <v>1060.9353226455692</v>
      </c>
      <c r="X46" s="1216">
        <v>538.27679999999998</v>
      </c>
      <c r="Y46" s="1215">
        <v>119.02072957284199</v>
      </c>
      <c r="Z46" s="1215">
        <v>126.27329613087414</v>
      </c>
      <c r="AA46" s="1497">
        <f>(Z46/Y46)*1000</f>
        <v>1060.9353226455692</v>
      </c>
      <c r="AB46" s="1485">
        <v>591.53637783641159</v>
      </c>
      <c r="AC46" s="1215">
        <v>127.55822634522205</v>
      </c>
      <c r="AD46" s="1462">
        <v>141.8777715668239</v>
      </c>
      <c r="AE46" s="1502">
        <f>AD46/AC46*1000</f>
        <v>1112.2588925221303</v>
      </c>
    </row>
    <row r="47" spans="1:31" s="1197" customFormat="1" ht="25.5" x14ac:dyDescent="0.2">
      <c r="A47" s="1213">
        <v>21</v>
      </c>
      <c r="B47" s="1213" t="s">
        <v>237</v>
      </c>
      <c r="C47" s="1532" t="s">
        <v>239</v>
      </c>
      <c r="D47" s="1485"/>
      <c r="E47" s="1218"/>
      <c r="F47" s="1215"/>
      <c r="G47" s="1257"/>
      <c r="H47" s="1485"/>
      <c r="I47" s="1215"/>
      <c r="J47" s="1215"/>
      <c r="K47" s="1322"/>
      <c r="L47" s="1216"/>
      <c r="M47" s="1215"/>
      <c r="N47" s="1215"/>
      <c r="O47" s="1217"/>
      <c r="P47" s="1216"/>
      <c r="Q47" s="1215"/>
      <c r="R47" s="1215"/>
      <c r="S47" s="1217"/>
      <c r="T47" s="1486"/>
      <c r="U47" s="1215"/>
      <c r="V47" s="1215"/>
      <c r="W47" s="1217"/>
      <c r="X47" s="1216"/>
      <c r="Y47" s="1215"/>
      <c r="Z47" s="1215"/>
      <c r="AA47" s="1497"/>
      <c r="AB47" s="1485"/>
      <c r="AC47" s="1215"/>
      <c r="AD47" s="1462"/>
      <c r="AE47" s="1504"/>
    </row>
    <row r="48" spans="1:31" s="1197" customFormat="1" ht="25.5" x14ac:dyDescent="0.2">
      <c r="A48" s="1237"/>
      <c r="B48" s="1223" t="s">
        <v>23</v>
      </c>
      <c r="C48" s="1533" t="s">
        <v>55</v>
      </c>
      <c r="D48" s="1485">
        <v>28</v>
      </c>
      <c r="E48" s="1215">
        <v>26.047979000000002</v>
      </c>
      <c r="F48" s="1215">
        <v>7.67</v>
      </c>
      <c r="G48" s="1257">
        <f>(F48/E48)*1000</f>
        <v>294.45662559847727</v>
      </c>
      <c r="H48" s="1485">
        <v>34</v>
      </c>
      <c r="I48" s="1215">
        <v>42.047460000000001</v>
      </c>
      <c r="J48" s="1215">
        <f>13.966-0.3794-1.665</f>
        <v>11.921599999999998</v>
      </c>
      <c r="K48" s="1322">
        <f>(J48/I48)*1000</f>
        <v>283.52723327401935</v>
      </c>
      <c r="L48" s="1216">
        <v>35</v>
      </c>
      <c r="M48" s="1215">
        <v>13.463805499999999</v>
      </c>
      <c r="N48" s="1215">
        <v>6.9437855930000003</v>
      </c>
      <c r="O48" s="1217">
        <f>(N48/M48)*1000</f>
        <v>515.73721805473201</v>
      </c>
      <c r="P48" s="1216">
        <v>41</v>
      </c>
      <c r="Q48" s="1215">
        <v>55.22</v>
      </c>
      <c r="R48" s="1215">
        <v>17.366435484</v>
      </c>
      <c r="S48" s="1217">
        <f>(R48/Q48)*1000</f>
        <v>314.49539087287212</v>
      </c>
      <c r="T48" s="1486">
        <v>44</v>
      </c>
      <c r="U48" s="1215">
        <v>36.606058500000003</v>
      </c>
      <c r="V48" s="1215">
        <v>13.637201905000001</v>
      </c>
      <c r="W48" s="1217">
        <f>(V48/U48)*1000</f>
        <v>372.53947744742857</v>
      </c>
      <c r="X48" s="1475">
        <v>45</v>
      </c>
      <c r="Y48" s="1476">
        <v>128.21094684807491</v>
      </c>
      <c r="Z48" s="1476">
        <v>47.763639141821862</v>
      </c>
      <c r="AA48" s="1497">
        <f>(Z48/Y48)*1000</f>
        <v>372.53947744742857</v>
      </c>
      <c r="AB48" s="1485">
        <v>50.184210526315788</v>
      </c>
      <c r="AC48" s="1215">
        <v>171.54387284440165</v>
      </c>
      <c r="AD48" s="1462">
        <v>54.764150274373122</v>
      </c>
      <c r="AE48" s="1502">
        <f>AD48/AC48*1000</f>
        <v>319.24282322835734</v>
      </c>
    </row>
    <row r="49" spans="1:31" s="1197" customFormat="1" ht="14.25" x14ac:dyDescent="0.2">
      <c r="A49" s="1237"/>
      <c r="B49" s="1241" t="s">
        <v>24</v>
      </c>
      <c r="C49" s="1533" t="s">
        <v>395</v>
      </c>
      <c r="D49" s="1485">
        <v>3</v>
      </c>
      <c r="E49" s="1215">
        <v>1.853E-3</v>
      </c>
      <c r="F49" s="1215">
        <v>2.4683069999999999E-3</v>
      </c>
      <c r="G49" s="1257">
        <f>(F49/E49)*1000</f>
        <v>1332.0599028602264</v>
      </c>
      <c r="H49" s="1485">
        <v>4</v>
      </c>
      <c r="I49" s="1215">
        <v>2.54393</v>
      </c>
      <c r="J49" s="1215">
        <f>1.515-0.0211-0.0201</f>
        <v>1.4738</v>
      </c>
      <c r="K49" s="1322">
        <f>(J49/I49)*1000</f>
        <v>579.33984032579508</v>
      </c>
      <c r="L49" s="1216">
        <v>4</v>
      </c>
      <c r="M49" s="1215">
        <v>1.8706499999999999</v>
      </c>
      <c r="N49" s="1215">
        <v>0.88026580199999993</v>
      </c>
      <c r="O49" s="1217">
        <f>(N49/M49)*1000</f>
        <v>470.5668093978029</v>
      </c>
      <c r="P49" s="1216">
        <v>2</v>
      </c>
      <c r="Q49" s="1215">
        <v>1.87</v>
      </c>
      <c r="R49" s="1215">
        <v>0.81575923299999986</v>
      </c>
      <c r="S49" s="1217">
        <f>(R49/Q49)*1000</f>
        <v>436.23488395721915</v>
      </c>
      <c r="T49" s="1486">
        <v>1</v>
      </c>
      <c r="U49" s="1215">
        <v>0</v>
      </c>
      <c r="V49" s="1215">
        <v>1.0560000000000001E-3</v>
      </c>
      <c r="W49" s="1217" t="e">
        <f>(V49/U49)*1000</f>
        <v>#DIV/0!</v>
      </c>
      <c r="X49" s="1475">
        <v>2</v>
      </c>
      <c r="Y49" s="1476">
        <v>2.52</v>
      </c>
      <c r="Z49" s="1476">
        <v>0.94</v>
      </c>
      <c r="AA49" s="1497">
        <f>(Z49/Y49)*1000</f>
        <v>373.01587301587296</v>
      </c>
      <c r="AB49" s="1485">
        <v>3</v>
      </c>
      <c r="AC49" s="1215">
        <v>3.37</v>
      </c>
      <c r="AD49" s="1462">
        <v>1.0987199999999999</v>
      </c>
      <c r="AE49" s="1502">
        <f>AD49/AC49*1000</f>
        <v>326.02967359050444</v>
      </c>
    </row>
    <row r="50" spans="1:31" s="1197" customFormat="1" ht="23.25" customHeight="1" x14ac:dyDescent="0.2">
      <c r="A50" s="1237">
        <v>22</v>
      </c>
      <c r="B50" s="1213" t="s">
        <v>240</v>
      </c>
      <c r="C50" s="1532" t="s">
        <v>241</v>
      </c>
      <c r="D50" s="1485">
        <v>13</v>
      </c>
      <c r="E50" s="1215">
        <v>0.70584000000000002</v>
      </c>
      <c r="F50" s="1215">
        <v>0.37</v>
      </c>
      <c r="G50" s="1257">
        <f>(F50/E50)*1000</f>
        <v>524.19811855377986</v>
      </c>
      <c r="H50" s="1485">
        <v>14</v>
      </c>
      <c r="I50" s="1215">
        <v>1.082333</v>
      </c>
      <c r="J50" s="1215">
        <v>0.53895999999999999</v>
      </c>
      <c r="K50" s="1322">
        <f>(J50/I50)*1000</f>
        <v>497.96134830962376</v>
      </c>
      <c r="L50" s="1216">
        <v>15</v>
      </c>
      <c r="M50" s="1215">
        <v>0.713785</v>
      </c>
      <c r="N50" s="1215">
        <v>0.387739051</v>
      </c>
      <c r="O50" s="1217">
        <f>(N50/M50)*1000</f>
        <v>543.21546544127432</v>
      </c>
      <c r="P50" s="1216">
        <v>16</v>
      </c>
      <c r="Q50" s="1215">
        <v>1.33</v>
      </c>
      <c r="R50" s="1215">
        <v>0.69478402300000008</v>
      </c>
      <c r="S50" s="1217">
        <f>(R50/Q50)*1000</f>
        <v>522.39400225563918</v>
      </c>
      <c r="T50" s="1486">
        <v>15</v>
      </c>
      <c r="U50" s="1215">
        <v>0.72768149999999998</v>
      </c>
      <c r="V50" s="1215">
        <v>0.38197460799999999</v>
      </c>
      <c r="W50" s="1217">
        <f>(V50/U50)*1000</f>
        <v>524.92004812545042</v>
      </c>
      <c r="X50" s="1475">
        <v>14</v>
      </c>
      <c r="Y50" s="1476">
        <v>2.5987356269224309</v>
      </c>
      <c r="Z50" s="1476">
        <v>1.364128430349445</v>
      </c>
      <c r="AA50" s="1497">
        <f>(Z50/Y50)*1000</f>
        <v>524.92004812545042</v>
      </c>
      <c r="AB50" s="1485">
        <v>15.862457378395732</v>
      </c>
      <c r="AC50" s="1215">
        <v>3.4647304462658104</v>
      </c>
      <c r="AD50" s="1462">
        <v>1.9268452231329052</v>
      </c>
      <c r="AE50" s="1502">
        <f>AD50/AC50*1000</f>
        <v>556.13135076917888</v>
      </c>
    </row>
    <row r="51" spans="1:31" s="1197" customFormat="1" ht="14.25" customHeight="1" x14ac:dyDescent="0.2">
      <c r="A51" s="1213">
        <v>23</v>
      </c>
      <c r="B51" s="1213" t="s">
        <v>242</v>
      </c>
      <c r="C51" s="1532" t="s">
        <v>388</v>
      </c>
      <c r="D51" s="1485"/>
      <c r="E51" s="1218"/>
      <c r="F51" s="1215"/>
      <c r="G51" s="1257"/>
      <c r="H51" s="1485"/>
      <c r="I51" s="1215"/>
      <c r="J51" s="1215"/>
      <c r="K51" s="1322"/>
      <c r="L51" s="1216"/>
      <c r="M51" s="1215"/>
      <c r="N51" s="1215"/>
      <c r="O51" s="1217"/>
      <c r="P51" s="1216"/>
      <c r="Q51" s="1215"/>
      <c r="R51" s="1215"/>
      <c r="S51" s="1217"/>
      <c r="T51" s="1486"/>
      <c r="U51" s="1215"/>
      <c r="V51" s="1215"/>
      <c r="W51" s="1217"/>
      <c r="X51" s="1216"/>
      <c r="Y51" s="1215"/>
      <c r="Z51" s="1215"/>
      <c r="AA51" s="1497"/>
      <c r="AB51" s="1485"/>
      <c r="AC51" s="1215"/>
      <c r="AD51" s="1462"/>
      <c r="AE51" s="1504"/>
    </row>
    <row r="52" spans="1:31" s="1197" customFormat="1" ht="25.5" x14ac:dyDescent="0.2">
      <c r="A52" s="1213"/>
      <c r="B52" s="1223" t="s">
        <v>25</v>
      </c>
      <c r="C52" s="1533" t="s">
        <v>625</v>
      </c>
      <c r="D52" s="1485">
        <v>219</v>
      </c>
      <c r="E52" s="1215">
        <v>68.853735459999996</v>
      </c>
      <c r="F52" s="1215">
        <v>48.15</v>
      </c>
      <c r="G52" s="1257">
        <f>(F52/E52)*1000</f>
        <v>699.30846421502201</v>
      </c>
      <c r="H52" s="1485">
        <v>252</v>
      </c>
      <c r="I52" s="1215">
        <v>70.04486</v>
      </c>
      <c r="J52" s="1215">
        <v>49.14</v>
      </c>
      <c r="K52" s="1322">
        <f>(J52/I52)*1000</f>
        <v>701.55040641097719</v>
      </c>
      <c r="L52" s="1216">
        <v>353</v>
      </c>
      <c r="M52" s="1215">
        <v>39.08705921</v>
      </c>
      <c r="N52" s="1215">
        <v>32.206987788999996</v>
      </c>
      <c r="O52" s="1217">
        <f>(N52/M52)*1000</f>
        <v>823.98083764664977</v>
      </c>
      <c r="P52" s="1216">
        <v>412</v>
      </c>
      <c r="Q52" s="1215">
        <v>78.3</v>
      </c>
      <c r="R52" s="1215">
        <v>61.109637119999995</v>
      </c>
      <c r="S52" s="1217">
        <f>(R52/Q52)*1000</f>
        <v>780.45513563218378</v>
      </c>
      <c r="T52" s="1486">
        <v>437</v>
      </c>
      <c r="U52" s="1215">
        <v>40.773811509999994</v>
      </c>
      <c r="V52" s="1215">
        <v>31.121694795999996</v>
      </c>
      <c r="W52" s="1217">
        <f>(V52/U52)*1000</f>
        <v>763.27656511501846</v>
      </c>
      <c r="X52" s="1216">
        <v>462</v>
      </c>
      <c r="Y52" s="1215">
        <v>75.428624935492579</v>
      </c>
      <c r="Z52" s="1215">
        <v>57.572901752111811</v>
      </c>
      <c r="AA52" s="1497">
        <f>(Z52/Y52)*1000</f>
        <v>763.27656511501846</v>
      </c>
      <c r="AB52" s="1485">
        <v>566.89952515414848</v>
      </c>
      <c r="AC52" s="1215">
        <v>75.428624935492579</v>
      </c>
      <c r="AD52" s="1462">
        <v>63.506694330167349</v>
      </c>
      <c r="AE52" s="1502">
        <f>AD52/AC52*1000</f>
        <v>841.9442139436984</v>
      </c>
    </row>
    <row r="53" spans="1:31" s="1197" customFormat="1" ht="14.25" customHeight="1" x14ac:dyDescent="0.2">
      <c r="A53" s="1213"/>
      <c r="B53" s="1223" t="s">
        <v>26</v>
      </c>
      <c r="C53" s="1533" t="s">
        <v>273</v>
      </c>
      <c r="D53" s="1485"/>
      <c r="E53" s="1215"/>
      <c r="F53" s="1215"/>
      <c r="G53" s="1257"/>
      <c r="H53" s="1485"/>
      <c r="I53" s="1215"/>
      <c r="J53" s="1221"/>
      <c r="K53" s="1322"/>
      <c r="L53" s="1216"/>
      <c r="M53" s="1215"/>
      <c r="N53" s="1215"/>
      <c r="O53" s="1217"/>
      <c r="P53" s="1216"/>
      <c r="Q53" s="1215"/>
      <c r="R53" s="1215"/>
      <c r="S53" s="1217"/>
      <c r="T53" s="1486"/>
      <c r="U53" s="1215"/>
      <c r="V53" s="1215"/>
      <c r="W53" s="1217"/>
      <c r="X53" s="1216"/>
      <c r="Y53" s="1215"/>
      <c r="Z53" s="1215"/>
      <c r="AA53" s="1497"/>
      <c r="AB53" s="1485"/>
      <c r="AC53" s="1215"/>
      <c r="AD53" s="1462"/>
      <c r="AE53" s="1504"/>
    </row>
    <row r="54" spans="1:31" ht="14.25" customHeight="1" x14ac:dyDescent="0.2">
      <c r="A54" s="1223"/>
      <c r="B54" s="1223"/>
      <c r="C54" s="1533"/>
      <c r="D54" s="1485"/>
      <c r="E54" s="1215"/>
      <c r="F54" s="1215"/>
      <c r="G54" s="1257"/>
      <c r="H54" s="1485"/>
      <c r="I54" s="1215"/>
      <c r="J54" s="1215"/>
      <c r="K54" s="1322"/>
      <c r="L54" s="1216"/>
      <c r="M54" s="1215"/>
      <c r="N54" s="1215"/>
      <c r="O54" s="1217"/>
      <c r="P54" s="1216"/>
      <c r="Q54" s="1215"/>
      <c r="R54" s="1215"/>
      <c r="S54" s="1217"/>
      <c r="T54" s="1486"/>
      <c r="U54" s="1215"/>
      <c r="V54" s="1215"/>
      <c r="W54" s="1217"/>
      <c r="X54" s="1216"/>
      <c r="Y54" s="1215"/>
      <c r="Z54" s="1215"/>
      <c r="AA54" s="1497"/>
      <c r="AB54" s="1485"/>
      <c r="AC54" s="1215"/>
      <c r="AD54" s="1462"/>
      <c r="AE54" s="1210"/>
    </row>
    <row r="55" spans="1:31" ht="15" customHeight="1" thickBot="1" x14ac:dyDescent="0.25">
      <c r="A55" s="1226">
        <v>24</v>
      </c>
      <c r="B55" s="1226" t="s">
        <v>660</v>
      </c>
      <c r="C55" s="1537" t="s">
        <v>38</v>
      </c>
      <c r="D55" s="1485">
        <v>949</v>
      </c>
      <c r="E55" s="1215">
        <v>84.622027680000002</v>
      </c>
      <c r="F55" s="1215">
        <v>108.43</v>
      </c>
      <c r="G55" s="1257">
        <f>(F55/E55)*1000</f>
        <v>1281.3448575119278</v>
      </c>
      <c r="H55" s="1485">
        <v>1180</v>
      </c>
      <c r="I55" s="1215">
        <v>85.867396099999993</v>
      </c>
      <c r="J55" s="1215">
        <v>110.77818000000001</v>
      </c>
      <c r="K55" s="1322">
        <f>(J55/I55)*1000</f>
        <v>1290.1075964966872</v>
      </c>
      <c r="L55" s="1216">
        <v>1304</v>
      </c>
      <c r="M55" s="1215">
        <v>46.068141900000001</v>
      </c>
      <c r="N55" s="1215">
        <v>62.997727060999999</v>
      </c>
      <c r="O55" s="1217">
        <f>(N55/M55)*1000</f>
        <v>1367.4900801892338</v>
      </c>
      <c r="P55" s="1216">
        <v>1413</v>
      </c>
      <c r="Q55" s="1215">
        <v>89.48</v>
      </c>
      <c r="R55" s="1215">
        <v>121.52599845199997</v>
      </c>
      <c r="S55" s="1217">
        <f>(R55/Q55)*1000</f>
        <v>1358.1358789897181</v>
      </c>
      <c r="T55" s="1486">
        <v>1534</v>
      </c>
      <c r="U55" s="1215">
        <v>38.160921950000002</v>
      </c>
      <c r="V55" s="1215">
        <v>54.938345827999996</v>
      </c>
      <c r="W55" s="1217">
        <f>(V55/U55)*1000</f>
        <v>1439.6493328956374</v>
      </c>
      <c r="X55" s="1216">
        <v>1655</v>
      </c>
      <c r="Y55" s="1215">
        <v>68.522993166677395</v>
      </c>
      <c r="Z55" s="1215">
        <v>98.649081400419419</v>
      </c>
      <c r="AA55" s="1497">
        <f>(Z55/Y55)*1000</f>
        <v>1439.6493328956371</v>
      </c>
      <c r="AB55" s="1485">
        <v>1981.792372881356</v>
      </c>
      <c r="AC55" s="1215">
        <v>70.347012946395395</v>
      </c>
      <c r="AD55" s="1505">
        <v>109.49071424103494</v>
      </c>
      <c r="AE55" s="1502">
        <f>AD55/AC55*1000</f>
        <v>1556.4372907271436</v>
      </c>
    </row>
    <row r="56" spans="1:31" ht="15.75" customHeight="1" thickBot="1" x14ac:dyDescent="0.25">
      <c r="A56" s="1230"/>
      <c r="B56" s="1230"/>
      <c r="C56" s="1535" t="s">
        <v>793</v>
      </c>
      <c r="D56" s="1242">
        <f>SUM(D36:D55)</f>
        <v>14920</v>
      </c>
      <c r="E56" s="1243">
        <f>SUM(E36:E55)</f>
        <v>8204.9590499799997</v>
      </c>
      <c r="F56" s="1244">
        <f>SUM(F36:F55)</f>
        <v>7508.0924683070007</v>
      </c>
      <c r="G56" s="1245">
        <f>F56*1000/E56</f>
        <v>915.06763441132614</v>
      </c>
      <c r="H56" s="1487">
        <f>SUM(H36:H55)</f>
        <v>16336</v>
      </c>
      <c r="I56" s="1219">
        <f>SUM(I36:I55)</f>
        <v>8210.5564890999995</v>
      </c>
      <c r="J56" s="1219">
        <f>SUM(J36:J55)</f>
        <v>7319.9907800000001</v>
      </c>
      <c r="K56" s="1321">
        <f>(J56/I56)*1000</f>
        <v>891.5340622426412</v>
      </c>
      <c r="L56" s="1233">
        <f>SUM(L36:L55)</f>
        <v>17197</v>
      </c>
      <c r="M56" s="1234">
        <f>SUM(M36:M55)</f>
        <v>4035.0271257900004</v>
      </c>
      <c r="N56" s="1235">
        <f>SUM(N36:N55)</f>
        <v>4179.0094404189995</v>
      </c>
      <c r="O56" s="1236">
        <f>(N56/M56)*1000</f>
        <v>1035.6831094662864</v>
      </c>
      <c r="P56" s="1246">
        <f>SUM(P36:P55)</f>
        <v>17925</v>
      </c>
      <c r="Q56" s="1234">
        <f>SUM(Q36:Q55)</f>
        <v>7838.4392109999999</v>
      </c>
      <c r="R56" s="1219">
        <f>SUM(R36:R55)</f>
        <v>7432.4600369219988</v>
      </c>
      <c r="S56" s="1236">
        <f>(R56/Q56)*1000</f>
        <v>948.20663104610492</v>
      </c>
      <c r="T56" s="1487">
        <f>SUM(T36:T55)</f>
        <v>18395</v>
      </c>
      <c r="U56" s="1488">
        <f>SUM(U36:U55)</f>
        <v>2890.5816585800003</v>
      </c>
      <c r="V56" s="1219">
        <f>SUM(V36:V55)</f>
        <v>3124.7229736570002</v>
      </c>
      <c r="W56" s="1236">
        <f>(V56/U56)*1000</f>
        <v>1081.001453248002</v>
      </c>
      <c r="X56" s="1233">
        <f>SUM(X36:X55)</f>
        <v>18865</v>
      </c>
      <c r="Y56" s="1234">
        <f>SUM(Y36:Y55)</f>
        <v>5585.7308871350115</v>
      </c>
      <c r="Z56" s="1235">
        <f>SUM(Z36:Z55)</f>
        <v>5961.6903141706498</v>
      </c>
      <c r="AA56" s="1499">
        <f>(Z56/Y56)*1000</f>
        <v>1067.3071142581437</v>
      </c>
      <c r="AB56" s="1246">
        <f>SUM(AB36:AB55)</f>
        <v>20655.527093165718</v>
      </c>
      <c r="AC56" s="1234">
        <f>SUM(AC36:AC55)</f>
        <v>5685.7332177991175</v>
      </c>
      <c r="AD56" s="1235">
        <f>SUM(AD36:AD55)</f>
        <v>6256.4954689630658</v>
      </c>
      <c r="AE56" s="1247">
        <f>(AD56/AC56)*1000</f>
        <v>1100.3849862981936</v>
      </c>
    </row>
    <row r="57" spans="1:31" ht="15.75" customHeight="1" x14ac:dyDescent="0.2">
      <c r="A57" s="1248"/>
      <c r="B57" s="1248"/>
      <c r="C57" s="1538" t="s">
        <v>1109</v>
      </c>
      <c r="D57" s="1249"/>
      <c r="E57" s="1250"/>
      <c r="F57" s="1251"/>
      <c r="G57" s="1252"/>
      <c r="H57" s="1487"/>
      <c r="I57" s="1219"/>
      <c r="J57" s="1219"/>
      <c r="K57" s="1321"/>
      <c r="L57" s="1323"/>
      <c r="M57" s="1250"/>
      <c r="N57" s="1251"/>
      <c r="O57" s="1236"/>
      <c r="P57" s="1249"/>
      <c r="Q57" s="1250"/>
      <c r="R57" s="1253"/>
      <c r="S57" s="1254"/>
      <c r="T57" s="1489"/>
      <c r="U57" s="1219"/>
      <c r="V57" s="1219"/>
      <c r="W57" s="1498"/>
      <c r="X57" s="1508"/>
      <c r="Y57" s="1509"/>
      <c r="Z57" s="1464"/>
      <c r="AA57" s="1510"/>
      <c r="AB57" s="1312"/>
      <c r="AC57" s="1506"/>
      <c r="AD57" s="1312"/>
      <c r="AE57" s="1501"/>
    </row>
    <row r="58" spans="1:31" ht="15.75" customHeight="1" x14ac:dyDescent="0.2">
      <c r="A58" s="1248"/>
      <c r="B58" s="1248"/>
      <c r="C58" s="1538" t="s">
        <v>1142</v>
      </c>
      <c r="D58" s="1249"/>
      <c r="E58" s="1250"/>
      <c r="F58" s="1251"/>
      <c r="G58" s="1252"/>
      <c r="H58" s="1487"/>
      <c r="I58" s="1219"/>
      <c r="J58" s="1219"/>
      <c r="K58" s="1321"/>
      <c r="L58" s="1323"/>
      <c r="M58" s="1250"/>
      <c r="N58" s="1251"/>
      <c r="O58" s="1236"/>
      <c r="P58" s="1249"/>
      <c r="Q58" s="1250"/>
      <c r="R58" s="1253"/>
      <c r="S58" s="1254"/>
      <c r="T58" s="1489"/>
      <c r="U58" s="1219"/>
      <c r="V58" s="1219"/>
      <c r="W58" s="1498"/>
      <c r="X58" s="1487"/>
      <c r="Y58" s="1488"/>
      <c r="Z58" s="1219"/>
      <c r="AA58" s="1236"/>
      <c r="AB58" s="1208"/>
      <c r="AC58" s="1311"/>
      <c r="AD58" s="1311"/>
      <c r="AE58" s="1210"/>
    </row>
    <row r="59" spans="1:31" ht="15.75" customHeight="1" x14ac:dyDescent="0.2">
      <c r="A59" s="1248"/>
      <c r="B59" s="1248"/>
      <c r="C59" s="1538" t="s">
        <v>813</v>
      </c>
      <c r="D59" s="1249"/>
      <c r="E59" s="1250"/>
      <c r="F59" s="1251"/>
      <c r="G59" s="1252"/>
      <c r="H59" s="1487"/>
      <c r="I59" s="1219"/>
      <c r="J59" s="1219"/>
      <c r="K59" s="1321"/>
      <c r="L59" s="1323"/>
      <c r="M59" s="1250"/>
      <c r="N59" s="1251"/>
      <c r="O59" s="1236"/>
      <c r="P59" s="1249"/>
      <c r="Q59" s="1250"/>
      <c r="R59" s="1253"/>
      <c r="S59" s="1254"/>
      <c r="T59" s="1489"/>
      <c r="U59" s="1219"/>
      <c r="V59" s="1219"/>
      <c r="W59" s="1498"/>
      <c r="X59" s="1487"/>
      <c r="Y59" s="1488"/>
      <c r="Z59" s="1219"/>
      <c r="AA59" s="1236"/>
      <c r="AB59" s="1208"/>
      <c r="AC59" s="1311"/>
      <c r="AD59" s="1311"/>
      <c r="AE59" s="1210"/>
    </row>
    <row r="60" spans="1:31" ht="15.75" customHeight="1" x14ac:dyDescent="0.2">
      <c r="A60" s="1239"/>
      <c r="B60" s="1239"/>
      <c r="C60" s="1539" t="s">
        <v>620</v>
      </c>
      <c r="D60" s="1255"/>
      <c r="E60" s="1256"/>
      <c r="F60" s="1256"/>
      <c r="G60" s="1257"/>
      <c r="H60" s="1486"/>
      <c r="I60" s="1215"/>
      <c r="J60" s="1215"/>
      <c r="K60" s="1322"/>
      <c r="L60" s="1319"/>
      <c r="M60" s="1259"/>
      <c r="N60" s="1259"/>
      <c r="O60" s="1217"/>
      <c r="P60" s="1258"/>
      <c r="Q60" s="1259"/>
      <c r="R60" s="1259"/>
      <c r="S60" s="1257"/>
      <c r="T60" s="1486"/>
      <c r="U60" s="1215"/>
      <c r="V60" s="1215"/>
      <c r="W60" s="1497"/>
      <c r="X60" s="1211"/>
      <c r="Y60" s="1311"/>
      <c r="Z60" s="1311"/>
      <c r="AA60" s="1217"/>
      <c r="AB60" s="1208"/>
      <c r="AC60" s="1311"/>
      <c r="AD60" s="1311"/>
      <c r="AE60" s="1210"/>
    </row>
    <row r="61" spans="1:31" ht="30" customHeight="1" thickBot="1" x14ac:dyDescent="0.25">
      <c r="A61" s="1226"/>
      <c r="B61" s="1226"/>
      <c r="C61" s="1540" t="s">
        <v>789</v>
      </c>
      <c r="D61" s="1260"/>
      <c r="E61" s="1261"/>
      <c r="F61" s="1228">
        <f>E61*5.3/10</f>
        <v>0</v>
      </c>
      <c r="G61" s="1262"/>
      <c r="H61" s="1486"/>
      <c r="I61" s="1215"/>
      <c r="J61" s="1215"/>
      <c r="K61" s="1322"/>
      <c r="L61" s="1316"/>
      <c r="M61" s="1264"/>
      <c r="N61" s="1265"/>
      <c r="O61" s="1217"/>
      <c r="P61" s="1263"/>
      <c r="Q61" s="1264"/>
      <c r="R61" s="1265"/>
      <c r="S61" s="1262"/>
      <c r="T61" s="1511"/>
      <c r="U61" s="1228"/>
      <c r="V61" s="1228"/>
      <c r="W61" s="1466"/>
      <c r="X61" s="1263"/>
      <c r="Y61" s="1264"/>
      <c r="Z61" s="1265"/>
      <c r="AA61" s="1262"/>
      <c r="AB61" s="1208"/>
      <c r="AC61" s="1311"/>
      <c r="AD61" s="1311"/>
      <c r="AE61" s="1210"/>
    </row>
    <row r="62" spans="1:31" ht="15.75" customHeight="1" thickBot="1" x14ac:dyDescent="0.25">
      <c r="A62" s="1267"/>
      <c r="B62" s="1267"/>
      <c r="C62" s="1535" t="s">
        <v>424</v>
      </c>
      <c r="D62" s="1246">
        <f>D35+D56</f>
        <v>11244760</v>
      </c>
      <c r="E62" s="1234">
        <f>E56+E35+E61</f>
        <v>25967.27062103089</v>
      </c>
      <c r="F62" s="1234">
        <f>F56+F35+F61</f>
        <v>17292.865620058001</v>
      </c>
      <c r="G62" s="1247">
        <f>F62*1000/E62</f>
        <v>665.94852699122373</v>
      </c>
      <c r="H62" s="1487">
        <f>H35+H56</f>
        <v>11810529</v>
      </c>
      <c r="I62" s="1219">
        <f>I35+I56</f>
        <v>27762.471845919998</v>
      </c>
      <c r="J62" s="1219">
        <f>J35+J56</f>
        <v>18622.697889994997</v>
      </c>
      <c r="K62" s="1321">
        <f>(J62/I62)*1000</f>
        <v>670.78673661876428</v>
      </c>
      <c r="L62" s="1233">
        <f>L35+L56</f>
        <v>12096929</v>
      </c>
      <c r="M62" s="1235">
        <f>M35+M56</f>
        <v>14548.17725395</v>
      </c>
      <c r="N62" s="1235">
        <f>N35+N56</f>
        <v>11010.471527882999</v>
      </c>
      <c r="O62" s="1217">
        <f>(N62/M62)*1000</f>
        <v>756.82824973097763</v>
      </c>
      <c r="P62" s="1246">
        <f>P35+P56</f>
        <v>12365413</v>
      </c>
      <c r="Q62" s="1235">
        <f>Q35+Q56</f>
        <v>27834.597210999997</v>
      </c>
      <c r="R62" s="1235">
        <f>R35+R56</f>
        <v>20009.926777953999</v>
      </c>
      <c r="S62" s="1247">
        <f>(R62/Q62)*1000</f>
        <v>718.8868811813179</v>
      </c>
      <c r="T62" s="1246">
        <f>T35+T56</f>
        <v>12557090</v>
      </c>
      <c r="U62" s="1235">
        <f>U35+U56</f>
        <v>12340.042155340001</v>
      </c>
      <c r="V62" s="1235">
        <f>V35+V56</f>
        <v>9286.5827589310011</v>
      </c>
      <c r="W62" s="1499">
        <f>(V62/U62)*1000</f>
        <v>752.55680993863928</v>
      </c>
      <c r="X62" s="1246">
        <f>X35+X56</f>
        <v>12760077</v>
      </c>
      <c r="Y62" s="1235">
        <f>Y35+Y56</f>
        <v>24485.637633641963</v>
      </c>
      <c r="Z62" s="1235">
        <f>Z35+Z56</f>
        <v>18206.715283025584</v>
      </c>
      <c r="AA62" s="1247">
        <f>(Z62/Y62)*1000</f>
        <v>743.56712924684166</v>
      </c>
      <c r="AB62" s="1507">
        <f>AB35+AB56</f>
        <v>13361516.844369784</v>
      </c>
      <c r="AC62" s="1244">
        <f>AC35+AC56</f>
        <v>25616.083833226505</v>
      </c>
      <c r="AD62" s="1244">
        <f>AD35+AD56</f>
        <v>19744.953393754222</v>
      </c>
      <c r="AE62" s="1245">
        <f>(AD62/AC62)*1000</f>
        <v>770.80296591406113</v>
      </c>
    </row>
    <row r="63" spans="1:31" ht="25.5" x14ac:dyDescent="0.2">
      <c r="A63" s="1268"/>
      <c r="B63" s="1268" t="s">
        <v>532</v>
      </c>
      <c r="C63" s="1541" t="s">
        <v>389</v>
      </c>
      <c r="D63" s="1269"/>
      <c r="E63" s="1270"/>
      <c r="F63" s="1271"/>
      <c r="G63" s="1272"/>
      <c r="H63" s="1211"/>
      <c r="I63" s="1311"/>
      <c r="J63" s="1311"/>
      <c r="K63" s="1320"/>
      <c r="L63" s="1319"/>
      <c r="M63" s="1259"/>
      <c r="N63" s="1259"/>
      <c r="O63" s="1217"/>
      <c r="P63" s="1258"/>
      <c r="Q63" s="1259"/>
      <c r="R63" s="1259"/>
      <c r="S63" s="1273"/>
      <c r="T63" s="1258"/>
      <c r="U63" s="1259"/>
      <c r="V63" s="1259"/>
      <c r="W63" s="1273"/>
      <c r="X63" s="1319"/>
      <c r="Y63" s="1259"/>
      <c r="Z63" s="1259"/>
      <c r="AA63" s="1467"/>
      <c r="AB63" s="1500"/>
      <c r="AC63" s="1312"/>
      <c r="AD63" s="1312"/>
      <c r="AE63" s="1501"/>
    </row>
    <row r="64" spans="1:31" ht="14.25" x14ac:dyDescent="0.2">
      <c r="A64" s="1268"/>
      <c r="B64" s="1268"/>
      <c r="C64" s="1542" t="s">
        <v>812</v>
      </c>
      <c r="D64" s="1255"/>
      <c r="E64" s="1270"/>
      <c r="F64" s="1271">
        <v>328.3</v>
      </c>
      <c r="G64" s="1272"/>
      <c r="H64" s="1211"/>
      <c r="I64" s="1311"/>
      <c r="J64" s="1462">
        <v>254.22836046400005</v>
      </c>
      <c r="K64" s="1320"/>
      <c r="L64" s="1319"/>
      <c r="M64" s="1259"/>
      <c r="N64" s="1275"/>
      <c r="O64" s="1217"/>
      <c r="P64" s="1258"/>
      <c r="Q64" s="1259"/>
      <c r="R64" s="1276">
        <v>325.59669997100002</v>
      </c>
      <c r="S64" s="1273"/>
      <c r="T64" s="1211"/>
      <c r="U64" s="1311"/>
      <c r="V64" s="1311"/>
      <c r="W64" s="1210"/>
      <c r="X64" s="1481"/>
      <c r="Y64" s="1259"/>
      <c r="Z64" s="1276">
        <f>R64</f>
        <v>325.59669997100002</v>
      </c>
      <c r="AA64" s="1467"/>
      <c r="AB64" s="1211"/>
      <c r="AC64" s="1311"/>
      <c r="AD64" s="1462">
        <f>Z64</f>
        <v>325.59669997100002</v>
      </c>
      <c r="AE64" s="1210"/>
    </row>
    <row r="65" spans="1:31" ht="14.25" x14ac:dyDescent="0.2">
      <c r="A65" s="1268"/>
      <c r="B65" s="1268"/>
      <c r="C65" s="1542" t="s">
        <v>813</v>
      </c>
      <c r="D65" s="1255"/>
      <c r="E65" s="1270"/>
      <c r="F65" s="1271">
        <v>330.6</v>
      </c>
      <c r="G65" s="1272"/>
      <c r="H65" s="1211"/>
      <c r="I65" s="1311"/>
      <c r="J65" s="1522">
        <v>169.94332288400003</v>
      </c>
      <c r="K65" s="1320"/>
      <c r="L65" s="1319"/>
      <c r="M65" s="1259"/>
      <c r="N65" s="1275"/>
      <c r="O65" s="1217"/>
      <c r="P65" s="1258"/>
      <c r="Q65" s="1259"/>
      <c r="R65" s="1277">
        <v>589.14232848199993</v>
      </c>
      <c r="S65" s="1273"/>
      <c r="T65" s="1211"/>
      <c r="U65" s="1311"/>
      <c r="V65" s="1311"/>
      <c r="W65" s="1210"/>
      <c r="X65" s="1481"/>
      <c r="Y65" s="1259"/>
      <c r="Z65" s="1276">
        <f>R65</f>
        <v>589.14232848199993</v>
      </c>
      <c r="AA65" s="1467"/>
      <c r="AB65" s="1211"/>
      <c r="AC65" s="1311"/>
      <c r="AD65" s="1462">
        <f>Z65</f>
        <v>589.14232848199993</v>
      </c>
      <c r="AE65" s="1210"/>
    </row>
    <row r="66" spans="1:31" ht="14.25" x14ac:dyDescent="0.2">
      <c r="A66" s="1268"/>
      <c r="B66" s="1268"/>
      <c r="C66" s="1542" t="s">
        <v>814</v>
      </c>
      <c r="D66" s="1255"/>
      <c r="E66" s="1270"/>
      <c r="F66" s="1271">
        <v>158.80000000000001</v>
      </c>
      <c r="G66" s="1272"/>
      <c r="H66" s="1211"/>
      <c r="I66" s="1311"/>
      <c r="J66" s="1462">
        <v>175.50142285800004</v>
      </c>
      <c r="K66" s="1320"/>
      <c r="L66" s="1319"/>
      <c r="M66" s="1259"/>
      <c r="N66" s="1275"/>
      <c r="O66" s="1273"/>
      <c r="P66" s="1258"/>
      <c r="Q66" s="1259"/>
      <c r="R66" s="1276">
        <v>-185.49788311312503</v>
      </c>
      <c r="S66" s="1273"/>
      <c r="T66" s="1211"/>
      <c r="U66" s="1311"/>
      <c r="V66" s="1311"/>
      <c r="W66" s="1210"/>
      <c r="X66" s="1481"/>
      <c r="Y66" s="1278"/>
      <c r="Z66" s="1276">
        <f>R66</f>
        <v>-185.49788311312503</v>
      </c>
      <c r="AA66" s="1467"/>
      <c r="AB66" s="1211"/>
      <c r="AC66" s="1311"/>
      <c r="AD66" s="1462">
        <f>Z66</f>
        <v>-185.49788311312503</v>
      </c>
      <c r="AE66" s="1210"/>
    </row>
    <row r="67" spans="1:31" ht="14.25" x14ac:dyDescent="0.2">
      <c r="A67" s="1268"/>
      <c r="B67" s="1268"/>
      <c r="C67" s="1542" t="s">
        <v>815</v>
      </c>
      <c r="D67" s="1255"/>
      <c r="E67" s="1270"/>
      <c r="F67" s="1271"/>
      <c r="G67" s="1272"/>
      <c r="H67" s="1211"/>
      <c r="I67" s="1311"/>
      <c r="J67" s="1311"/>
      <c r="K67" s="1320"/>
      <c r="L67" s="1319"/>
      <c r="M67" s="1259"/>
      <c r="N67" s="1275"/>
      <c r="O67" s="1273"/>
      <c r="P67" s="1258"/>
      <c r="Q67" s="1259"/>
      <c r="R67" s="1274"/>
      <c r="S67" s="1273"/>
      <c r="T67" s="1211"/>
      <c r="U67" s="1311"/>
      <c r="V67" s="1311"/>
      <c r="W67" s="1210"/>
      <c r="X67" s="1481"/>
      <c r="Y67" s="1259"/>
      <c r="Z67" s="1276">
        <f>R67</f>
        <v>0</v>
      </c>
      <c r="AA67" s="1467"/>
      <c r="AB67" s="1211"/>
      <c r="AC67" s="1311"/>
      <c r="AD67" s="1462">
        <f>Z67</f>
        <v>0</v>
      </c>
      <c r="AE67" s="1210"/>
    </row>
    <row r="68" spans="1:31" ht="14.25" customHeight="1" x14ac:dyDescent="0.2">
      <c r="A68" s="1279"/>
      <c r="B68" s="1279"/>
      <c r="C68" s="1543" t="s">
        <v>867</v>
      </c>
      <c r="D68" s="1280"/>
      <c r="E68" s="1281"/>
      <c r="F68" s="1271"/>
      <c r="G68" s="1282"/>
      <c r="H68" s="1211"/>
      <c r="I68" s="1311"/>
      <c r="J68" s="1311">
        <v>282.32</v>
      </c>
      <c r="K68" s="1285"/>
      <c r="L68" s="1317"/>
      <c r="M68" s="1311"/>
      <c r="N68" s="1275"/>
      <c r="O68" s="1210"/>
      <c r="P68" s="1211"/>
      <c r="Q68" s="1311"/>
      <c r="R68" s="1212">
        <v>362.5</v>
      </c>
      <c r="S68" s="1210"/>
      <c r="T68" s="1211"/>
      <c r="U68" s="1311"/>
      <c r="V68" s="1311"/>
      <c r="W68" s="1210"/>
      <c r="X68" s="1208"/>
      <c r="Y68" s="1311"/>
      <c r="Z68" s="1276">
        <f>R68</f>
        <v>362.5</v>
      </c>
      <c r="AA68" s="1468"/>
      <c r="AB68" s="1211"/>
      <c r="AC68" s="1311"/>
      <c r="AD68" s="1462">
        <f>Z68</f>
        <v>362.5</v>
      </c>
      <c r="AE68" s="1210"/>
    </row>
    <row r="69" spans="1:31" ht="15" customHeight="1" x14ac:dyDescent="0.2">
      <c r="A69" s="1279"/>
      <c r="B69" s="1279" t="s">
        <v>517</v>
      </c>
      <c r="C69" s="1544" t="s">
        <v>390</v>
      </c>
      <c r="D69" s="1280"/>
      <c r="E69" s="1281"/>
      <c r="F69" s="1271">
        <v>817.7</v>
      </c>
      <c r="G69" s="1282"/>
      <c r="H69" s="1211"/>
      <c r="I69" s="1311"/>
      <c r="J69" s="1472">
        <f>J64+J65+J66+J68</f>
        <v>881.99310620600022</v>
      </c>
      <c r="K69" s="1285"/>
      <c r="L69" s="1317"/>
      <c r="M69" s="1311"/>
      <c r="N69" s="1275"/>
      <c r="O69" s="1210"/>
      <c r="P69" s="1211"/>
      <c r="Q69" s="1311"/>
      <c r="R69" s="1283">
        <f>R64+R65+R66+R68</f>
        <v>1091.7411453398749</v>
      </c>
      <c r="S69" s="1210"/>
      <c r="T69" s="1211"/>
      <c r="U69" s="1311"/>
      <c r="V69" s="1311"/>
      <c r="W69" s="1210"/>
      <c r="X69" s="1208"/>
      <c r="Y69" s="1311"/>
      <c r="Z69" s="1283">
        <f>Z64+Z65+Z66+Z68</f>
        <v>1091.7411453398749</v>
      </c>
      <c r="AA69" s="1468"/>
      <c r="AB69" s="1211"/>
      <c r="AC69" s="1311"/>
      <c r="AD69" s="1472">
        <f>AD64+AD65+AD66+AD68</f>
        <v>1091.7411453398749</v>
      </c>
      <c r="AE69" s="1210"/>
    </row>
    <row r="70" spans="1:31" ht="14.25" customHeight="1" x14ac:dyDescent="0.2">
      <c r="A70" s="1284"/>
      <c r="B70" s="1284">
        <v>1</v>
      </c>
      <c r="C70" s="1545" t="s">
        <v>391</v>
      </c>
      <c r="D70" s="1280"/>
      <c r="E70" s="1281"/>
      <c r="F70" s="1523"/>
      <c r="G70" s="1282"/>
      <c r="H70" s="1211"/>
      <c r="I70" s="1311"/>
      <c r="J70" s="1311"/>
      <c r="K70" s="1210"/>
      <c r="L70" s="1317"/>
      <c r="M70" s="1311"/>
      <c r="N70" s="1275"/>
      <c r="O70" s="1210"/>
      <c r="P70" s="1211"/>
      <c r="Q70" s="1311"/>
      <c r="R70" s="1275"/>
      <c r="S70" s="1210"/>
      <c r="T70" s="1211"/>
      <c r="U70" s="1311"/>
      <c r="V70" s="1311"/>
      <c r="W70" s="1210"/>
      <c r="X70" s="1208"/>
      <c r="Y70" s="1311"/>
      <c r="Z70" s="1275"/>
      <c r="AA70" s="1468"/>
      <c r="AB70" s="1211"/>
      <c r="AC70" s="1311"/>
      <c r="AD70" s="1311"/>
      <c r="AE70" s="1210"/>
    </row>
    <row r="71" spans="1:31" ht="14.25" customHeight="1" x14ac:dyDescent="0.2">
      <c r="A71" s="1284"/>
      <c r="B71" s="1284">
        <v>2</v>
      </c>
      <c r="C71" s="1212" t="s">
        <v>392</v>
      </c>
      <c r="D71" s="1280"/>
      <c r="E71" s="1281"/>
      <c r="F71" s="1523"/>
      <c r="G71" s="1282"/>
      <c r="H71" s="1211"/>
      <c r="I71" s="1311"/>
      <c r="J71" s="1311"/>
      <c r="K71" s="1210"/>
      <c r="L71" s="1317"/>
      <c r="M71" s="1311"/>
      <c r="N71" s="1275"/>
      <c r="O71" s="1210"/>
      <c r="P71" s="1211"/>
      <c r="Q71" s="1311"/>
      <c r="R71" s="1275"/>
      <c r="S71" s="1210"/>
      <c r="T71" s="1211"/>
      <c r="U71" s="1311"/>
      <c r="V71" s="1311"/>
      <c r="W71" s="1210"/>
      <c r="X71" s="1208"/>
      <c r="Y71" s="1311"/>
      <c r="Z71" s="1275"/>
      <c r="AA71" s="1468"/>
      <c r="AB71" s="1211"/>
      <c r="AC71" s="1311"/>
      <c r="AD71" s="1311"/>
      <c r="AE71" s="1210"/>
    </row>
    <row r="72" spans="1:31" ht="16.5" customHeight="1" x14ac:dyDescent="0.2">
      <c r="A72" s="1284"/>
      <c r="B72" s="1284">
        <v>3</v>
      </c>
      <c r="C72" s="1543" t="s">
        <v>415</v>
      </c>
      <c r="D72" s="1280"/>
      <c r="E72" s="1281"/>
      <c r="F72" s="1523"/>
      <c r="G72" s="1282"/>
      <c r="H72" s="1211"/>
      <c r="I72" s="1311"/>
      <c r="J72" s="1311"/>
      <c r="K72" s="1210"/>
      <c r="L72" s="1317"/>
      <c r="M72" s="1311"/>
      <c r="N72" s="1275"/>
      <c r="O72" s="1210"/>
      <c r="P72" s="1211"/>
      <c r="Q72" s="1311"/>
      <c r="R72" s="1275"/>
      <c r="S72" s="1210"/>
      <c r="T72" s="1211"/>
      <c r="U72" s="1311"/>
      <c r="V72" s="1311"/>
      <c r="W72" s="1210"/>
      <c r="X72" s="1208"/>
      <c r="Y72" s="1311"/>
      <c r="Z72" s="1275"/>
      <c r="AA72" s="1468"/>
      <c r="AB72" s="1211"/>
      <c r="AC72" s="1311"/>
      <c r="AD72" s="1311"/>
      <c r="AE72" s="1210"/>
    </row>
    <row r="73" spans="1:31" ht="14.25" customHeight="1" x14ac:dyDescent="0.2">
      <c r="A73" s="1284"/>
      <c r="B73" s="1284">
        <v>4</v>
      </c>
      <c r="C73" s="1212" t="s">
        <v>478</v>
      </c>
      <c r="D73" s="1280"/>
      <c r="E73" s="1281"/>
      <c r="F73" s="1523"/>
      <c r="G73" s="1282"/>
      <c r="H73" s="1211"/>
      <c r="I73" s="1311"/>
      <c r="J73" s="1311"/>
      <c r="K73" s="1210"/>
      <c r="L73" s="1317"/>
      <c r="M73" s="1311"/>
      <c r="N73" s="1275"/>
      <c r="O73" s="1210"/>
      <c r="P73" s="1211"/>
      <c r="Q73" s="1311"/>
      <c r="R73" s="1275"/>
      <c r="S73" s="1210"/>
      <c r="T73" s="1211"/>
      <c r="U73" s="1311"/>
      <c r="V73" s="1311"/>
      <c r="W73" s="1210"/>
      <c r="X73" s="1208"/>
      <c r="Y73" s="1311"/>
      <c r="Z73" s="1275"/>
      <c r="AA73" s="1468"/>
      <c r="AB73" s="1211"/>
      <c r="AC73" s="1311"/>
      <c r="AD73" s="1311"/>
      <c r="AE73" s="1210"/>
    </row>
    <row r="74" spans="1:31" ht="14.25" customHeight="1" x14ac:dyDescent="0.2">
      <c r="A74" s="1284"/>
      <c r="B74" s="1284">
        <v>5</v>
      </c>
      <c r="C74" s="1212" t="s">
        <v>16</v>
      </c>
      <c r="D74" s="1280"/>
      <c r="E74" s="1281"/>
      <c r="F74" s="1523"/>
      <c r="G74" s="1282"/>
      <c r="H74" s="1211"/>
      <c r="I74" s="1311"/>
      <c r="J74" s="1311"/>
      <c r="K74" s="1210"/>
      <c r="L74" s="1317"/>
      <c r="M74" s="1311"/>
      <c r="N74" s="1275"/>
      <c r="O74" s="1210"/>
      <c r="P74" s="1211"/>
      <c r="Q74" s="1311"/>
      <c r="R74" s="1275"/>
      <c r="S74" s="1210"/>
      <c r="T74" s="1211"/>
      <c r="U74" s="1311"/>
      <c r="V74" s="1311"/>
      <c r="W74" s="1210"/>
      <c r="X74" s="1208"/>
      <c r="Y74" s="1311"/>
      <c r="Z74" s="1275"/>
      <c r="AA74" s="1468"/>
      <c r="AB74" s="1211"/>
      <c r="AC74" s="1311"/>
      <c r="AD74" s="1311"/>
      <c r="AE74" s="1210"/>
    </row>
    <row r="75" spans="1:31" ht="14.25" customHeight="1" x14ac:dyDescent="0.2">
      <c r="A75" s="1284"/>
      <c r="B75" s="1284">
        <v>6</v>
      </c>
      <c r="C75" s="1212" t="s">
        <v>479</v>
      </c>
      <c r="D75" s="1280"/>
      <c r="E75" s="1281"/>
      <c r="F75" s="1215">
        <v>91.58</v>
      </c>
      <c r="G75" s="1282"/>
      <c r="H75" s="1211"/>
      <c r="I75" s="1311"/>
      <c r="J75" s="1311">
        <v>98.74</v>
      </c>
      <c r="K75" s="1210"/>
      <c r="L75" s="1317"/>
      <c r="M75" s="1311"/>
      <c r="N75" s="1275"/>
      <c r="O75" s="1210"/>
      <c r="P75" s="1211"/>
      <c r="Q75" s="1311"/>
      <c r="R75" s="1462">
        <v>154.17990524999999</v>
      </c>
      <c r="S75" s="1210"/>
      <c r="T75" s="1211"/>
      <c r="U75" s="1311"/>
      <c r="V75" s="1311"/>
      <c r="W75" s="1210"/>
      <c r="X75" s="1208"/>
      <c r="Y75" s="1311"/>
      <c r="Z75" s="1275">
        <f>R75</f>
        <v>154.17990524999999</v>
      </c>
      <c r="AA75" s="1468"/>
      <c r="AB75" s="1211"/>
      <c r="AC75" s="1311"/>
      <c r="AD75" s="1473">
        <f>Z75</f>
        <v>154.17990524999999</v>
      </c>
      <c r="AE75" s="1210"/>
    </row>
    <row r="76" spans="1:31" s="1290" customFormat="1" ht="14.25" customHeight="1" x14ac:dyDescent="0.2">
      <c r="A76" s="1284"/>
      <c r="B76" s="1284">
        <v>7</v>
      </c>
      <c r="C76" s="1212" t="s">
        <v>35</v>
      </c>
      <c r="D76" s="1286"/>
      <c r="E76" s="1281"/>
      <c r="F76" s="1523"/>
      <c r="G76" s="1287"/>
      <c r="H76" s="1288"/>
      <c r="I76" s="1474"/>
      <c r="J76" s="1474"/>
      <c r="K76" s="1289"/>
      <c r="L76" s="1318"/>
      <c r="M76" s="1311"/>
      <c r="N76" s="1275"/>
      <c r="O76" s="1289"/>
      <c r="P76" s="1288"/>
      <c r="Q76" s="1311"/>
      <c r="R76" s="1275"/>
      <c r="S76" s="1289"/>
      <c r="T76" s="1288"/>
      <c r="U76" s="1474"/>
      <c r="V76" s="1474"/>
      <c r="W76" s="1289"/>
      <c r="X76" s="1482"/>
      <c r="Y76" s="1311"/>
      <c r="Z76" s="1275"/>
      <c r="AA76" s="1469"/>
      <c r="AB76" s="1288"/>
      <c r="AC76" s="1474"/>
      <c r="AD76" s="1474"/>
      <c r="AE76" s="1289"/>
    </row>
    <row r="77" spans="1:31" ht="15" customHeight="1" x14ac:dyDescent="0.2">
      <c r="A77" s="1284"/>
      <c r="B77" s="1284"/>
      <c r="C77" s="1546" t="s">
        <v>868</v>
      </c>
      <c r="D77" s="1280"/>
      <c r="E77" s="1281"/>
      <c r="F77" s="1215">
        <f>F75</f>
        <v>91.58</v>
      </c>
      <c r="G77" s="1282"/>
      <c r="H77" s="1211"/>
      <c r="I77" s="1311"/>
      <c r="J77" s="1215">
        <f>J75</f>
        <v>98.74</v>
      </c>
      <c r="K77" s="1210"/>
      <c r="L77" s="1317"/>
      <c r="M77" s="1311"/>
      <c r="N77" s="1275"/>
      <c r="O77" s="1210"/>
      <c r="P77" s="1211"/>
      <c r="Q77" s="1311"/>
      <c r="R77" s="1275">
        <f>R75</f>
        <v>154.17990524999999</v>
      </c>
      <c r="S77" s="1210"/>
      <c r="T77" s="1211"/>
      <c r="U77" s="1311"/>
      <c r="V77" s="1311"/>
      <c r="W77" s="1210"/>
      <c r="X77" s="1208"/>
      <c r="Y77" s="1311"/>
      <c r="Z77" s="1275">
        <f>Z75</f>
        <v>154.17990524999999</v>
      </c>
      <c r="AA77" s="1468"/>
      <c r="AB77" s="1211"/>
      <c r="AC77" s="1311"/>
      <c r="AD77" s="1473">
        <f>AD75</f>
        <v>154.17990524999999</v>
      </c>
      <c r="AE77" s="1210"/>
    </row>
    <row r="78" spans="1:31" ht="15" x14ac:dyDescent="0.2">
      <c r="A78" s="1291"/>
      <c r="B78" s="1291" t="s">
        <v>519</v>
      </c>
      <c r="C78" s="1543" t="s">
        <v>869</v>
      </c>
      <c r="D78" s="1280"/>
      <c r="E78" s="1281"/>
      <c r="F78" s="1292">
        <f>F77+F69+F63+F62</f>
        <v>18202.145620058</v>
      </c>
      <c r="G78" s="1282"/>
      <c r="H78" s="1211"/>
      <c r="I78" s="1311"/>
      <c r="J78" s="1222">
        <f>J62+J69+J77</f>
        <v>19603.430996200997</v>
      </c>
      <c r="K78" s="1210"/>
      <c r="L78" s="1317"/>
      <c r="M78" s="1311"/>
      <c r="N78" s="1293"/>
      <c r="O78" s="1210"/>
      <c r="P78" s="1211"/>
      <c r="Q78" s="1311"/>
      <c r="R78" s="1294">
        <f>R62+R69+R77</f>
        <v>21255.847828543872</v>
      </c>
      <c r="S78" s="1210"/>
      <c r="T78" s="1211"/>
      <c r="U78" s="1311"/>
      <c r="V78" s="1311"/>
      <c r="W78" s="1210"/>
      <c r="X78" s="1208"/>
      <c r="Y78" s="1311"/>
      <c r="Z78" s="1294">
        <f>Z62+Z69+Z77</f>
        <v>19452.636333615457</v>
      </c>
      <c r="AA78" s="1468"/>
      <c r="AB78" s="1211"/>
      <c r="AC78" s="1311"/>
      <c r="AD78" s="1222">
        <f>AD62+AD69+AD77</f>
        <v>20990.874444344096</v>
      </c>
      <c r="AE78" s="1210"/>
    </row>
    <row r="79" spans="1:31" ht="15" customHeight="1" x14ac:dyDescent="0.2">
      <c r="A79" s="1291"/>
      <c r="B79" s="1291" t="s">
        <v>151</v>
      </c>
      <c r="C79" s="1212" t="s">
        <v>511</v>
      </c>
      <c r="D79" s="1280"/>
      <c r="E79" s="1281"/>
      <c r="F79" s="1240"/>
      <c r="G79" s="1282"/>
      <c r="H79" s="1211"/>
      <c r="I79" s="1311"/>
      <c r="J79" s="1311"/>
      <c r="K79" s="1210"/>
      <c r="L79" s="1317"/>
      <c r="M79" s="1311"/>
      <c r="N79" s="1311"/>
      <c r="O79" s="1210"/>
      <c r="P79" s="1211"/>
      <c r="Q79" s="1311"/>
      <c r="R79" s="1212"/>
      <c r="S79" s="1210"/>
      <c r="T79" s="1211"/>
      <c r="U79" s="1311"/>
      <c r="V79" s="1311"/>
      <c r="W79" s="1210"/>
      <c r="X79" s="1208"/>
      <c r="Y79" s="1311"/>
      <c r="Z79" s="1212"/>
      <c r="AA79" s="1468"/>
      <c r="AB79" s="1211"/>
      <c r="AC79" s="1311"/>
      <c r="AD79" s="1311"/>
      <c r="AE79" s="1210"/>
    </row>
    <row r="80" spans="1:31" ht="14.25" customHeight="1" x14ac:dyDescent="0.2">
      <c r="A80" s="1284"/>
      <c r="B80" s="1284">
        <v>1</v>
      </c>
      <c r="C80" s="1212" t="s">
        <v>93</v>
      </c>
      <c r="D80" s="1280"/>
      <c r="E80" s="1281"/>
      <c r="F80" s="1240">
        <v>82.9</v>
      </c>
      <c r="G80" s="1282"/>
      <c r="H80" s="1211"/>
      <c r="I80" s="1311"/>
      <c r="J80" s="1462">
        <f>21.8606+35.99+6.835</f>
        <v>64.685599999999994</v>
      </c>
      <c r="K80" s="1210"/>
      <c r="L80" s="1317"/>
      <c r="M80" s="1311"/>
      <c r="N80" s="1311"/>
      <c r="O80" s="1210"/>
      <c r="P80" s="1211"/>
      <c r="Q80" s="1311"/>
      <c r="R80" s="1462"/>
      <c r="S80" s="1210"/>
      <c r="T80" s="1211"/>
      <c r="U80" s="1311"/>
      <c r="V80" s="1311"/>
      <c r="W80" s="1210"/>
      <c r="X80" s="1208"/>
      <c r="Y80" s="1311"/>
      <c r="Z80" s="1295">
        <f>R80</f>
        <v>0</v>
      </c>
      <c r="AA80" s="1468"/>
      <c r="AB80" s="1211"/>
      <c r="AC80" s="1311"/>
      <c r="AD80" s="1462">
        <f>Z80</f>
        <v>0</v>
      </c>
      <c r="AE80" s="1210"/>
    </row>
    <row r="81" spans="1:31" ht="14.25" customHeight="1" x14ac:dyDescent="0.2">
      <c r="A81" s="1284"/>
      <c r="B81" s="1284">
        <v>2</v>
      </c>
      <c r="C81" s="1212" t="s">
        <v>870</v>
      </c>
      <c r="D81" s="1280"/>
      <c r="E81" s="1281"/>
      <c r="F81" s="1240">
        <v>77.14</v>
      </c>
      <c r="G81" s="1282"/>
      <c r="H81" s="1211"/>
      <c r="I81" s="1311"/>
      <c r="J81" s="1311"/>
      <c r="K81" s="1210"/>
      <c r="L81" s="1317"/>
      <c r="M81" s="1311"/>
      <c r="N81" s="1311"/>
      <c r="O81" s="1210"/>
      <c r="P81" s="1211"/>
      <c r="Q81" s="1311"/>
      <c r="R81" s="1212"/>
      <c r="S81" s="1210"/>
      <c r="T81" s="1211"/>
      <c r="U81" s="1311"/>
      <c r="V81" s="1311"/>
      <c r="W81" s="1210"/>
      <c r="X81" s="1208"/>
      <c r="Y81" s="1311"/>
      <c r="Z81" s="1311"/>
      <c r="AA81" s="1468"/>
      <c r="AB81" s="1211"/>
      <c r="AC81" s="1311"/>
      <c r="AD81" s="1311"/>
      <c r="AE81" s="1210"/>
    </row>
    <row r="82" spans="1:31" ht="15.75" customHeight="1" thickBot="1" x14ac:dyDescent="0.25">
      <c r="A82" s="1296"/>
      <c r="B82" s="1296">
        <v>3</v>
      </c>
      <c r="C82" s="1299" t="s">
        <v>269</v>
      </c>
      <c r="D82" s="1260"/>
      <c r="E82" s="1524"/>
      <c r="F82" s="1525"/>
      <c r="G82" s="1550"/>
      <c r="H82" s="1529"/>
      <c r="I82" s="1526"/>
      <c r="J82" s="1526"/>
      <c r="K82" s="1527"/>
      <c r="L82" s="1316"/>
      <c r="M82" s="1229"/>
      <c r="N82" s="1229"/>
      <c r="O82" s="1298"/>
      <c r="P82" s="1266"/>
      <c r="Q82" s="1229"/>
      <c r="R82" s="1299">
        <v>85.15</v>
      </c>
      <c r="S82" s="1298"/>
      <c r="T82" s="1266"/>
      <c r="U82" s="1229"/>
      <c r="V82" s="1229"/>
      <c r="W82" s="1298"/>
      <c r="X82" s="1483"/>
      <c r="Y82" s="1229"/>
      <c r="Z82" s="1229">
        <f>R82</f>
        <v>85.15</v>
      </c>
      <c r="AA82" s="1470"/>
      <c r="AB82" s="1266"/>
      <c r="AC82" s="1229"/>
      <c r="AD82" s="1229">
        <f>Z82</f>
        <v>85.15</v>
      </c>
      <c r="AE82" s="1298"/>
    </row>
    <row r="83" spans="1:31" ht="15.75" customHeight="1" thickBot="1" x14ac:dyDescent="0.25">
      <c r="A83" s="1300"/>
      <c r="B83" s="1300"/>
      <c r="C83" s="1547" t="s">
        <v>419</v>
      </c>
      <c r="D83" s="1301"/>
      <c r="E83" s="1302"/>
      <c r="F83" s="1235">
        <f>SUM(F80:F82)</f>
        <v>160.04000000000002</v>
      </c>
      <c r="G83" s="1303"/>
      <c r="H83" s="1530"/>
      <c r="I83" s="1308"/>
      <c r="J83" s="1235">
        <f>SUM(J80:J82)</f>
        <v>64.685599999999994</v>
      </c>
      <c r="K83" s="1315"/>
      <c r="L83" s="1314"/>
      <c r="M83" s="1305"/>
      <c r="N83" s="1306"/>
      <c r="O83" s="1307"/>
      <c r="P83" s="1304"/>
      <c r="Q83" s="1305"/>
      <c r="R83" s="1235">
        <f>SUM(R80:R82)</f>
        <v>85.15</v>
      </c>
      <c r="S83" s="1307"/>
      <c r="T83" s="1304"/>
      <c r="U83" s="1305"/>
      <c r="V83" s="1305"/>
      <c r="W83" s="1307"/>
      <c r="X83" s="1484"/>
      <c r="Y83" s="1305"/>
      <c r="Z83" s="1235">
        <f>SUM(Z80:Z82)</f>
        <v>85.15</v>
      </c>
      <c r="AA83" s="1471"/>
      <c r="AB83" s="1304"/>
      <c r="AC83" s="1305"/>
      <c r="AD83" s="1235">
        <f>SUM(AD80:AD82)</f>
        <v>85.15</v>
      </c>
      <c r="AE83" s="1307"/>
    </row>
    <row r="84" spans="1:31" ht="15.75" customHeight="1" thickBot="1" x14ac:dyDescent="0.25">
      <c r="A84" s="1491"/>
      <c r="B84" s="1491" t="s">
        <v>179</v>
      </c>
      <c r="C84" s="1548" t="s">
        <v>871</v>
      </c>
      <c r="D84" s="1301"/>
      <c r="E84" s="1302"/>
      <c r="F84" s="1492">
        <v>18042.060000000001</v>
      </c>
      <c r="G84" s="1303"/>
      <c r="H84" s="1530"/>
      <c r="I84" s="1308"/>
      <c r="J84" s="1493">
        <f>J78-J83</f>
        <v>19538.745396200997</v>
      </c>
      <c r="K84" s="1315"/>
      <c r="L84" s="1314"/>
      <c r="M84" s="1305"/>
      <c r="N84" s="1494"/>
      <c r="O84" s="1307"/>
      <c r="P84" s="1304"/>
      <c r="Q84" s="1305"/>
      <c r="R84" s="1495">
        <f>R78-R83</f>
        <v>21170.697828543871</v>
      </c>
      <c r="S84" s="1307"/>
      <c r="T84" s="1304"/>
      <c r="U84" s="1305"/>
      <c r="V84" s="1305"/>
      <c r="W84" s="1307"/>
      <c r="X84" s="1484"/>
      <c r="Y84" s="1305"/>
      <c r="Z84" s="1495">
        <f>Z78-Z83</f>
        <v>19367.486333615456</v>
      </c>
      <c r="AA84" s="1471"/>
      <c r="AB84" s="1304"/>
      <c r="AC84" s="1305"/>
      <c r="AD84" s="1306">
        <f>AD78-AD83</f>
        <v>20905.724444344094</v>
      </c>
      <c r="AE84" s="1307"/>
    </row>
    <row r="85" spans="1:31" ht="14.25" customHeight="1" x14ac:dyDescent="0.2">
      <c r="B85" s="1873" t="s">
        <v>431</v>
      </c>
      <c r="C85" s="1874"/>
      <c r="D85" s="1259"/>
      <c r="E85" s="1259"/>
      <c r="F85" s="1259"/>
      <c r="G85" s="1259"/>
      <c r="H85" s="1259"/>
      <c r="I85" s="1259"/>
      <c r="J85" s="1490"/>
      <c r="K85" s="1259"/>
      <c r="L85" s="1259"/>
      <c r="M85" s="1259"/>
      <c r="N85" s="1259"/>
      <c r="O85" s="1259"/>
      <c r="P85" s="1259"/>
      <c r="Q85" s="1259"/>
      <c r="R85" s="1259"/>
      <c r="S85" s="1259"/>
      <c r="T85" s="1259"/>
      <c r="U85" s="1259"/>
      <c r="V85" s="1259"/>
      <c r="W85" s="1259"/>
      <c r="X85" s="1259"/>
      <c r="Y85" s="1259"/>
      <c r="Z85" s="1259"/>
      <c r="AA85" s="1467"/>
      <c r="AB85" s="1259"/>
      <c r="AC85" s="1259"/>
      <c r="AD85" s="1259"/>
      <c r="AE85" s="1259"/>
    </row>
    <row r="86" spans="1:31" ht="14.25" customHeight="1" x14ac:dyDescent="0.2">
      <c r="B86" s="1875"/>
      <c r="C86" s="1876"/>
      <c r="P86" s="1346">
        <v>0.98</v>
      </c>
      <c r="S86" s="1347">
        <f>R84*P86</f>
        <v>20747.283871972992</v>
      </c>
      <c r="T86" s="1347"/>
      <c r="U86" s="1347"/>
      <c r="V86" s="1347"/>
      <c r="W86" s="1347"/>
      <c r="X86" s="1346">
        <v>0.98</v>
      </c>
      <c r="AA86" s="1347">
        <f>Z84*X86</f>
        <v>18980.136606943146</v>
      </c>
    </row>
    <row r="87" spans="1:31" ht="14.25" customHeight="1" x14ac:dyDescent="0.2">
      <c r="B87" s="1312"/>
      <c r="C87" s="1312"/>
      <c r="J87" s="1203">
        <f>J84-19538.7357</f>
        <v>9.696200995676918E-3</v>
      </c>
    </row>
    <row r="88" spans="1:31" x14ac:dyDescent="0.2">
      <c r="B88" s="1312"/>
      <c r="C88" s="1312"/>
    </row>
    <row r="89" spans="1:31" x14ac:dyDescent="0.2">
      <c r="B89" s="1312"/>
      <c r="C89" s="1312"/>
      <c r="R89" s="1341">
        <f>R84-(R22+R10)</f>
        <v>18352.40663221887</v>
      </c>
      <c r="Z89" s="1341">
        <f>Z84-(Z22+Z10)</f>
        <v>16494.299337675067</v>
      </c>
      <c r="AD89" s="1341">
        <f>AD84-(AD22+AD10)</f>
        <v>17769.595399669459</v>
      </c>
    </row>
    <row r="90" spans="1:31" x14ac:dyDescent="0.2">
      <c r="B90" s="1312"/>
      <c r="C90" s="1312"/>
      <c r="R90" s="1313">
        <f>130.9+2687.39</f>
        <v>2818.29</v>
      </c>
      <c r="Z90" s="1313">
        <f>160.55+2712.64</f>
        <v>2873.19</v>
      </c>
      <c r="AD90" s="1313">
        <f>177.32+2958.81</f>
        <v>3136.13</v>
      </c>
    </row>
    <row r="91" spans="1:31" x14ac:dyDescent="0.2">
      <c r="B91" s="1312"/>
      <c r="C91" s="1312"/>
      <c r="N91" s="1313">
        <v>19538</v>
      </c>
    </row>
  </sheetData>
  <autoFilter ref="A8:AA8"/>
  <mergeCells count="12">
    <mergeCell ref="B85:C85"/>
    <mergeCell ref="L7:O7"/>
    <mergeCell ref="B86:C86"/>
    <mergeCell ref="AB7:AE7"/>
    <mergeCell ref="T7:W7"/>
    <mergeCell ref="A7:A8"/>
    <mergeCell ref="B7:B8"/>
    <mergeCell ref="C7:C8"/>
    <mergeCell ref="H7:K7"/>
    <mergeCell ref="P7:S7"/>
    <mergeCell ref="X7:AA7"/>
    <mergeCell ref="D7:G7"/>
  </mergeCells>
  <printOptions horizontalCentered="1"/>
  <pageMargins left="0.15748031496062992" right="0.15748031496062992" top="0.11811023622047245" bottom="0.11811023622047245" header="0.11811023622047245" footer="0.11811023622047245"/>
  <pageSetup paperSize="8" scale="5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F14"/>
  <sheetViews>
    <sheetView showGridLines="0" zoomScale="85" zoomScaleNormal="75" workbookViewId="0">
      <selection activeCell="B1" sqref="A1:F14"/>
    </sheetView>
  </sheetViews>
  <sheetFormatPr defaultRowHeight="12.75" x14ac:dyDescent="0.2"/>
  <cols>
    <col min="1" max="1" width="4.28515625" style="16" customWidth="1"/>
    <col min="2" max="2" width="42" style="16" customWidth="1"/>
    <col min="3" max="3" width="9.140625" style="16" hidden="1" customWidth="1"/>
    <col min="4" max="16384" width="9.140625" style="16"/>
  </cols>
  <sheetData>
    <row r="1" spans="1:6" x14ac:dyDescent="0.2">
      <c r="A1" s="5" t="s">
        <v>499</v>
      </c>
    </row>
    <row r="2" spans="1:6" ht="13.5" thickBot="1" x14ac:dyDescent="0.25">
      <c r="A2" s="5"/>
    </row>
    <row r="3" spans="1:6" ht="13.5" thickBot="1" x14ac:dyDescent="0.25">
      <c r="B3" s="85" t="s">
        <v>460</v>
      </c>
    </row>
    <row r="4" spans="1:6" x14ac:dyDescent="0.2">
      <c r="A4" s="5"/>
      <c r="B4" s="104" t="s">
        <v>95</v>
      </c>
    </row>
    <row r="5" spans="1:6" x14ac:dyDescent="0.2">
      <c r="A5" s="5"/>
      <c r="B5" s="106"/>
      <c r="F5" s="71" t="s">
        <v>720</v>
      </c>
    </row>
    <row r="6" spans="1:6" x14ac:dyDescent="0.2">
      <c r="A6" s="1781" t="s">
        <v>520</v>
      </c>
      <c r="B6" s="1781"/>
    </row>
    <row r="7" spans="1:6" ht="12.75" customHeight="1" thickBot="1" x14ac:dyDescent="0.25"/>
    <row r="8" spans="1:6" ht="41.25" customHeight="1" thickBot="1" x14ac:dyDescent="0.25">
      <c r="A8" s="24" t="s">
        <v>67</v>
      </c>
      <c r="B8" s="206" t="s">
        <v>340</v>
      </c>
      <c r="C8" s="231" t="s">
        <v>768</v>
      </c>
      <c r="D8" s="231" t="s">
        <v>878</v>
      </c>
      <c r="E8" s="231" t="s">
        <v>879</v>
      </c>
      <c r="F8" s="231" t="s">
        <v>880</v>
      </c>
    </row>
    <row r="9" spans="1:6" ht="12.75" customHeight="1" x14ac:dyDescent="0.2">
      <c r="A9" s="60">
        <v>1</v>
      </c>
      <c r="B9" s="201" t="s">
        <v>521</v>
      </c>
      <c r="C9" s="289">
        <v>0</v>
      </c>
      <c r="D9" s="289">
        <v>0</v>
      </c>
      <c r="E9" s="289">
        <v>0</v>
      </c>
      <c r="F9" s="289">
        <v>0</v>
      </c>
    </row>
    <row r="10" spans="1:6" x14ac:dyDescent="0.2">
      <c r="A10" s="203">
        <v>2</v>
      </c>
      <c r="B10" s="202" t="s">
        <v>522</v>
      </c>
      <c r="C10" s="289">
        <v>0</v>
      </c>
      <c r="D10" s="289">
        <v>0</v>
      </c>
      <c r="E10" s="289">
        <v>0</v>
      </c>
      <c r="F10" s="289">
        <v>0</v>
      </c>
    </row>
    <row r="11" spans="1:6" x14ac:dyDescent="0.2">
      <c r="A11" s="60">
        <v>3</v>
      </c>
      <c r="B11" s="202" t="s">
        <v>523</v>
      </c>
      <c r="C11" s="289">
        <v>0</v>
      </c>
      <c r="D11" s="289">
        <v>0</v>
      </c>
      <c r="E11" s="289">
        <v>0</v>
      </c>
      <c r="F11" s="289">
        <v>0</v>
      </c>
    </row>
    <row r="12" spans="1:6" x14ac:dyDescent="0.2">
      <c r="A12" s="204">
        <v>4</v>
      </c>
      <c r="B12" s="201" t="s">
        <v>524</v>
      </c>
      <c r="C12" s="289">
        <v>0</v>
      </c>
      <c r="D12" s="289">
        <v>0</v>
      </c>
      <c r="E12" s="289">
        <v>0</v>
      </c>
      <c r="F12" s="289">
        <v>0</v>
      </c>
    </row>
    <row r="13" spans="1:6" ht="13.5" thickBot="1" x14ac:dyDescent="0.25">
      <c r="A13" s="205"/>
      <c r="B13" s="200"/>
      <c r="C13" s="290"/>
      <c r="D13" s="290"/>
      <c r="E13" s="290"/>
      <c r="F13" s="290"/>
    </row>
    <row r="14" spans="1:6" ht="13.5" thickBot="1" x14ac:dyDescent="0.25">
      <c r="A14" s="78"/>
      <c r="B14" s="199" t="s">
        <v>431</v>
      </c>
      <c r="C14" s="291">
        <f>SUM(C9:C13)</f>
        <v>0</v>
      </c>
      <c r="D14" s="291">
        <f>SUM(D9:D13)</f>
        <v>0</v>
      </c>
      <c r="E14" s="291">
        <f>SUM(E9:E13)</f>
        <v>0</v>
      </c>
      <c r="F14" s="291">
        <f>SUM(F9:F13)</f>
        <v>0</v>
      </c>
    </row>
  </sheetData>
  <customSheetViews>
    <customSheetView guid="{80837D84-6D11-4A5F-87D7-272A542EF21A}" scale="85" showGridLines="0" fitToPage="1" hiddenColumns="1" showRuler="0" topLeftCell="A3">
      <selection activeCell="F18" sqref="F18"/>
      <colBreaks count="1" manualBreakCount="1">
        <brk id="4" max="1048575" man="1"/>
      </colBreaks>
      <pageMargins left="0.75" right="0.75" top="1" bottom="1" header="0.5" footer="0.5"/>
      <printOptions horizontalCentered="1" gridLines="1"/>
      <pageSetup paperSize="9" orientation="landscape" horizontalDpi="180" r:id="rId1"/>
      <headerFooter alignWithMargins="0"/>
    </customSheetView>
    <customSheetView guid="{5FF41722-DC20-49D9-9ED5-FEC8C9404ECB}" scale="85" showPageBreaks="1" showGridLines="0" fitToPage="1" printArea="1" hiddenColumns="1" showRuler="0" topLeftCell="A3">
      <selection activeCell="F18" sqref="F18"/>
      <colBreaks count="1" manualBreakCount="1">
        <brk id="4" max="1048575" man="1"/>
      </colBreaks>
      <pageMargins left="0.75" right="0.75" top="1" bottom="1" header="0.5" footer="0.5"/>
      <printOptions horizontalCentered="1" gridLines="1"/>
      <pageSetup paperSize="9" orientation="landscape" horizontalDpi="180" r:id="rId2"/>
      <headerFooter alignWithMargins="0"/>
    </customSheetView>
    <customSheetView guid="{23A957A0-E704-4A72-A26E-A4FA7FC4849F}" scale="85" showPageBreaks="1" showGridLines="0" fitToPage="1" printArea="1" hiddenColumns="1" showRuler="0" topLeftCell="A3">
      <selection activeCell="F18" sqref="F18"/>
      <colBreaks count="1" manualBreakCount="1">
        <brk id="4" max="1048575" man="1"/>
      </colBreaks>
      <pageMargins left="0.75" right="0.75" top="1" bottom="1" header="0.5" footer="0.5"/>
      <printOptions horizontalCentered="1" gridLines="1"/>
      <pageSetup paperSize="9" orientation="landscape" horizontalDpi="180" r:id="rId3"/>
      <headerFooter alignWithMargins="0"/>
    </customSheetView>
  </customSheetViews>
  <mergeCells count="1">
    <mergeCell ref="A6:B6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43"/>
  <sheetViews>
    <sheetView showGridLines="0" topLeftCell="A18" zoomScale="150" zoomScaleNormal="150" workbookViewId="0">
      <selection sqref="A1:I40"/>
    </sheetView>
  </sheetViews>
  <sheetFormatPr defaultRowHeight="12.75" x14ac:dyDescent="0.2"/>
  <cols>
    <col min="1" max="1" width="4.140625" style="16" customWidth="1"/>
    <col min="2" max="2" width="51.5703125" style="16" customWidth="1"/>
    <col min="3" max="3" width="9.140625" style="16" hidden="1" customWidth="1"/>
    <col min="4" max="4" width="0" style="16" hidden="1" customWidth="1"/>
    <col min="5" max="5" width="10.42578125" style="16" hidden="1" customWidth="1"/>
    <col min="6" max="6" width="9.140625" style="666" hidden="1" customWidth="1"/>
    <col min="7" max="7" width="9.140625" style="1380"/>
    <col min="8" max="9" width="9.140625" style="666"/>
    <col min="10" max="16384" width="9.140625" style="16"/>
  </cols>
  <sheetData>
    <row r="1" spans="1:9" x14ac:dyDescent="0.2">
      <c r="A1" s="5" t="s">
        <v>499</v>
      </c>
    </row>
    <row r="2" spans="1:9" ht="13.5" thickBot="1" x14ac:dyDescent="0.25">
      <c r="A2" s="5"/>
    </row>
    <row r="3" spans="1:9" ht="13.5" thickBot="1" x14ac:dyDescent="0.25">
      <c r="A3" s="5"/>
      <c r="B3" s="90" t="s">
        <v>109</v>
      </c>
      <c r="I3" s="16" t="s">
        <v>721</v>
      </c>
    </row>
    <row r="4" spans="1:9" x14ac:dyDescent="0.2">
      <c r="A4" s="5"/>
      <c r="I4" s="16"/>
    </row>
    <row r="5" spans="1:9" x14ac:dyDescent="0.2">
      <c r="A5" s="1781" t="s">
        <v>432</v>
      </c>
      <c r="B5" s="1880"/>
      <c r="I5" s="16"/>
    </row>
    <row r="6" spans="1:9" ht="13.5" thickBot="1" x14ac:dyDescent="0.25">
      <c r="A6" s="111"/>
      <c r="I6" s="16" t="s">
        <v>730</v>
      </c>
    </row>
    <row r="7" spans="1:9" ht="41.25" customHeight="1" x14ac:dyDescent="0.2">
      <c r="A7" s="112" t="s">
        <v>67</v>
      </c>
      <c r="B7" s="113" t="s">
        <v>340</v>
      </c>
      <c r="C7" s="231" t="s">
        <v>634</v>
      </c>
      <c r="D7" s="231" t="s">
        <v>766</v>
      </c>
      <c r="E7" s="231" t="s">
        <v>767</v>
      </c>
      <c r="F7" s="231" t="s">
        <v>768</v>
      </c>
      <c r="G7" s="231" t="s">
        <v>878</v>
      </c>
      <c r="H7" s="231" t="s">
        <v>879</v>
      </c>
      <c r="I7" s="231" t="s">
        <v>880</v>
      </c>
    </row>
    <row r="8" spans="1:9" x14ac:dyDescent="0.2">
      <c r="A8" s="114">
        <v>1</v>
      </c>
      <c r="B8" s="15" t="s">
        <v>400</v>
      </c>
      <c r="C8" s="55"/>
      <c r="D8" s="44"/>
      <c r="E8" s="44"/>
      <c r="F8" s="1376"/>
      <c r="G8" s="1445"/>
      <c r="H8" s="1376"/>
      <c r="I8" s="1376"/>
    </row>
    <row r="9" spans="1:9" x14ac:dyDescent="0.2">
      <c r="A9" s="114">
        <v>2</v>
      </c>
      <c r="B9" s="15" t="s">
        <v>401</v>
      </c>
      <c r="C9" s="55"/>
      <c r="D9" s="44"/>
      <c r="E9" s="44"/>
      <c r="F9" s="1376"/>
      <c r="G9" s="1445"/>
      <c r="H9" s="1376"/>
      <c r="I9" s="1376"/>
    </row>
    <row r="10" spans="1:9" x14ac:dyDescent="0.2">
      <c r="A10" s="12" t="s">
        <v>402</v>
      </c>
      <c r="B10" s="14" t="s">
        <v>403</v>
      </c>
      <c r="C10" s="55"/>
      <c r="D10" s="44"/>
      <c r="E10" s="44"/>
      <c r="F10" s="1376"/>
      <c r="G10" s="1445"/>
      <c r="H10" s="1376"/>
      <c r="I10" s="1376"/>
    </row>
    <row r="11" spans="1:9" x14ac:dyDescent="0.2">
      <c r="A11" s="12" t="s">
        <v>404</v>
      </c>
      <c r="B11" s="14" t="s">
        <v>405</v>
      </c>
      <c r="C11" s="55">
        <v>8.2799999999999994</v>
      </c>
      <c r="D11" s="55">
        <v>3.1726914394455825</v>
      </c>
      <c r="E11" s="55">
        <f>(D11/$D$40)*$E$40</f>
        <v>10.901370956101495</v>
      </c>
      <c r="F11" s="1377">
        <f>'[30]2.28 to 2.37'!$E$31</f>
        <v>7.9654767920000005</v>
      </c>
      <c r="G11" s="1446">
        <f>'[30]2.28 to 2.37'!$C$31</f>
        <v>9.1696056939999995</v>
      </c>
      <c r="H11" s="1377">
        <f>(G11/$G$40)*$H$40</f>
        <v>9.817169590132762</v>
      </c>
      <c r="I11" s="1377">
        <f>(H11/$G$40)*$H$40</f>
        <v>10.510464896488434</v>
      </c>
    </row>
    <row r="12" spans="1:9" x14ac:dyDescent="0.2">
      <c r="A12" s="116" t="s">
        <v>406</v>
      </c>
      <c r="B12" s="14" t="s">
        <v>407</v>
      </c>
      <c r="C12" s="55"/>
      <c r="D12" s="44"/>
      <c r="E12" s="44"/>
      <c r="F12" s="1376"/>
      <c r="G12" s="1445"/>
      <c r="H12" s="1376"/>
      <c r="I12" s="1376"/>
    </row>
    <row r="13" spans="1:9" x14ac:dyDescent="0.2">
      <c r="A13" s="117" t="s">
        <v>408</v>
      </c>
      <c r="B13" s="14" t="s">
        <v>244</v>
      </c>
      <c r="C13" s="55"/>
      <c r="D13" s="44"/>
      <c r="E13" s="44"/>
      <c r="F13" s="1376"/>
      <c r="G13" s="1445"/>
      <c r="H13" s="1376"/>
      <c r="I13" s="1376"/>
    </row>
    <row r="14" spans="1:9" x14ac:dyDescent="0.2">
      <c r="A14" s="117" t="s">
        <v>382</v>
      </c>
      <c r="B14" s="14" t="s">
        <v>383</v>
      </c>
      <c r="C14" s="55"/>
      <c r="D14" s="44"/>
      <c r="E14" s="44"/>
      <c r="F14" s="1376"/>
      <c r="G14" s="1445"/>
      <c r="H14" s="1376"/>
      <c r="I14" s="1376"/>
    </row>
    <row r="15" spans="1:9" x14ac:dyDescent="0.2">
      <c r="A15" s="117" t="s">
        <v>384</v>
      </c>
      <c r="B15" s="14" t="s">
        <v>245</v>
      </c>
      <c r="C15" s="55"/>
      <c r="D15" s="44"/>
      <c r="E15" s="44"/>
      <c r="F15" s="1376"/>
      <c r="G15" s="1445"/>
      <c r="H15" s="1376"/>
      <c r="I15" s="1376"/>
    </row>
    <row r="16" spans="1:9" x14ac:dyDescent="0.2">
      <c r="A16" s="118">
        <v>3</v>
      </c>
      <c r="B16" s="119" t="s">
        <v>246</v>
      </c>
      <c r="C16" s="55"/>
      <c r="D16" s="44"/>
      <c r="E16" s="44"/>
      <c r="F16" s="1376"/>
      <c r="G16" s="1445"/>
      <c r="H16" s="1376"/>
      <c r="I16" s="1376"/>
    </row>
    <row r="17" spans="1:9" x14ac:dyDescent="0.2">
      <c r="A17" s="12" t="s">
        <v>402</v>
      </c>
      <c r="B17" s="120" t="s">
        <v>247</v>
      </c>
      <c r="C17" s="55"/>
      <c r="D17" s="44"/>
      <c r="E17" s="44"/>
      <c r="F17" s="1376"/>
      <c r="G17" s="1445"/>
      <c r="H17" s="1376"/>
      <c r="I17" s="1376"/>
    </row>
    <row r="18" spans="1:9" x14ac:dyDescent="0.2">
      <c r="A18" s="12" t="s">
        <v>404</v>
      </c>
      <c r="B18" s="120" t="s">
        <v>248</v>
      </c>
      <c r="C18" s="55"/>
      <c r="D18" s="44"/>
      <c r="E18" s="44"/>
      <c r="F18" s="1376"/>
      <c r="G18" s="1445"/>
      <c r="H18" s="1376"/>
      <c r="I18" s="1376"/>
    </row>
    <row r="19" spans="1:9" x14ac:dyDescent="0.2">
      <c r="A19" s="116" t="s">
        <v>406</v>
      </c>
      <c r="B19" s="120" t="s">
        <v>10</v>
      </c>
      <c r="C19" s="55"/>
      <c r="D19" s="44"/>
      <c r="E19" s="44"/>
      <c r="F19" s="1376"/>
      <c r="G19" s="1445"/>
      <c r="H19" s="1376"/>
      <c r="I19" s="1376"/>
    </row>
    <row r="20" spans="1:9" x14ac:dyDescent="0.2">
      <c r="A20" s="117" t="s">
        <v>408</v>
      </c>
      <c r="B20" s="120" t="s">
        <v>440</v>
      </c>
      <c r="C20" s="55">
        <v>-0.71</v>
      </c>
      <c r="D20" s="55">
        <v>-0.27205445917951249</v>
      </c>
      <c r="E20" s="55">
        <f>(D20/$D$40)*$E$40</f>
        <v>-0.93477939357875128</v>
      </c>
      <c r="F20" s="1377">
        <f>'[30]2.28 to 2.37'!$E$33</f>
        <v>4.3955000000000001E-3</v>
      </c>
      <c r="G20" s="1446">
        <f>'[30]2.28 to 2.37'!$C$33</f>
        <v>0.26116442499999998</v>
      </c>
      <c r="H20" s="1377">
        <f>(G20/$G$40)*$H$40</f>
        <v>0.27960803732402106</v>
      </c>
      <c r="I20" s="1377">
        <f>(H20/$G$40)*$H$40</f>
        <v>0.29935415030661688</v>
      </c>
    </row>
    <row r="21" spans="1:9" x14ac:dyDescent="0.2">
      <c r="A21" s="117" t="s">
        <v>382</v>
      </c>
      <c r="B21" s="120" t="s">
        <v>441</v>
      </c>
      <c r="C21" s="55"/>
      <c r="D21" s="44"/>
      <c r="E21" s="44"/>
      <c r="F21" s="1376"/>
      <c r="G21" s="1445"/>
      <c r="H21" s="1377">
        <f>(G21/$G$40)*$H$40</f>
        <v>0</v>
      </c>
      <c r="I21" s="1376"/>
    </row>
    <row r="22" spans="1:9" ht="25.5" x14ac:dyDescent="0.2">
      <c r="A22" s="121" t="s">
        <v>384</v>
      </c>
      <c r="B22" s="1070" t="s">
        <v>1179</v>
      </c>
      <c r="C22" s="55"/>
      <c r="D22" s="44"/>
      <c r="E22" s="44"/>
      <c r="F22" s="1377">
        <f>'[30]2.28 to 2.37'!$E$34</f>
        <v>-4.0501253969999995</v>
      </c>
      <c r="G22" s="1446">
        <f>'[30]2.28 to 2.37'!$C$34</f>
        <v>-11.010174661000001</v>
      </c>
      <c r="H22" s="1377">
        <f>(G22/$G$40)*$H$40</f>
        <v>-11.787720810584673</v>
      </c>
      <c r="I22" s="1376"/>
    </row>
    <row r="23" spans="1:9" ht="25.5" x14ac:dyDescent="0.2">
      <c r="A23" s="117" t="s">
        <v>569</v>
      </c>
      <c r="B23" s="120" t="s">
        <v>465</v>
      </c>
      <c r="C23" s="55"/>
      <c r="D23" s="44"/>
      <c r="E23" s="44"/>
      <c r="F23" s="1376"/>
      <c r="G23" s="1445"/>
      <c r="H23" s="1377"/>
      <c r="I23" s="1376"/>
    </row>
    <row r="24" spans="1:9" ht="14.25" customHeight="1" x14ac:dyDescent="0.2">
      <c r="A24" s="8">
        <v>4</v>
      </c>
      <c r="B24" s="119" t="s">
        <v>442</v>
      </c>
      <c r="C24" s="55"/>
      <c r="D24" s="44"/>
      <c r="E24" s="44"/>
      <c r="F24" s="1376"/>
      <c r="G24" s="1445"/>
      <c r="H24" s="1377"/>
      <c r="I24" s="1376"/>
    </row>
    <row r="25" spans="1:9" x14ac:dyDescent="0.2">
      <c r="A25" s="12" t="s">
        <v>402</v>
      </c>
      <c r="B25" s="120" t="s">
        <v>443</v>
      </c>
      <c r="C25" s="55"/>
      <c r="D25" s="44"/>
      <c r="E25" s="44"/>
      <c r="F25" s="1376"/>
      <c r="G25" s="1445"/>
      <c r="H25" s="1377"/>
      <c r="I25" s="1376"/>
    </row>
    <row r="26" spans="1:9" x14ac:dyDescent="0.2">
      <c r="A26" s="9">
        <v>5</v>
      </c>
      <c r="B26" s="119" t="s">
        <v>444</v>
      </c>
      <c r="C26" s="55"/>
      <c r="D26" s="44"/>
      <c r="E26" s="44"/>
      <c r="F26" s="1376"/>
      <c r="G26" s="1445"/>
      <c r="H26" s="1377"/>
      <c r="I26" s="1376"/>
    </row>
    <row r="27" spans="1:9" ht="25.5" x14ac:dyDescent="0.2">
      <c r="A27" s="12" t="s">
        <v>402</v>
      </c>
      <c r="B27" s="120" t="s">
        <v>445</v>
      </c>
      <c r="C27" s="55"/>
      <c r="D27" s="44"/>
      <c r="E27" s="44"/>
      <c r="F27" s="1376"/>
      <c r="G27" s="1445"/>
      <c r="H27" s="1377"/>
      <c r="I27" s="1376"/>
    </row>
    <row r="28" spans="1:9" x14ac:dyDescent="0.2">
      <c r="A28" s="12" t="s">
        <v>404</v>
      </c>
      <c r="B28" s="120" t="s">
        <v>446</v>
      </c>
      <c r="C28" s="55">
        <f>'[20]Notes to P&amp; L'!$E$95/10^7</f>
        <v>3.5574887639999999</v>
      </c>
      <c r="D28" s="55">
        <v>1.3631418052495949</v>
      </c>
      <c r="E28" s="55">
        <f>(D28/$D$40)*$E$40</f>
        <v>4.6837566048945654</v>
      </c>
      <c r="F28" s="1377">
        <f>'[30]2.28 to 2.37'!$E$35</f>
        <v>3.3593005509999996</v>
      </c>
      <c r="G28" s="1446">
        <f>'[30]2.28 to 2.37'!$C$35</f>
        <v>3.1946226280000003</v>
      </c>
      <c r="H28" s="1377">
        <f>(G28/$G$40)*$H$40</f>
        <v>3.4202290875029648</v>
      </c>
      <c r="I28" s="1377">
        <f>'[3]chapter-5'!$H$107</f>
        <v>3.4264865620199996</v>
      </c>
    </row>
    <row r="29" spans="1:9" x14ac:dyDescent="0.2">
      <c r="A29" s="116" t="s">
        <v>406</v>
      </c>
      <c r="B29" s="120" t="s">
        <v>506</v>
      </c>
      <c r="C29" s="55"/>
      <c r="D29" s="44"/>
      <c r="E29" s="44"/>
      <c r="F29" s="1376"/>
      <c r="G29" s="1445"/>
      <c r="H29" s="1377"/>
      <c r="I29" s="1376"/>
    </row>
    <row r="30" spans="1:9" x14ac:dyDescent="0.2">
      <c r="A30" s="117" t="s">
        <v>408</v>
      </c>
      <c r="B30" s="120" t="s">
        <v>507</v>
      </c>
      <c r="C30" s="55"/>
      <c r="D30" s="44"/>
      <c r="E30" s="44"/>
      <c r="F30" s="1376"/>
      <c r="G30" s="1445"/>
      <c r="H30" s="1377"/>
      <c r="I30" s="1376"/>
    </row>
    <row r="31" spans="1:9" x14ac:dyDescent="0.2">
      <c r="A31" s="117" t="s">
        <v>382</v>
      </c>
      <c r="B31" s="120" t="s">
        <v>508</v>
      </c>
      <c r="C31" s="55">
        <v>0.23</v>
      </c>
      <c r="D31" s="55">
        <v>8.81303177623773E-2</v>
      </c>
      <c r="E31" s="55">
        <f>(D31/$D$40)*$E$40</f>
        <v>0.30281585989170823</v>
      </c>
      <c r="F31" s="1377">
        <f>'[30]2.28 to 2.37'!$E$38</f>
        <v>0.12042148600000001</v>
      </c>
      <c r="G31" s="1446">
        <f>'[30]2.28 to 2.37'!$C$38</f>
        <v>0.138156426</v>
      </c>
      <c r="H31" s="1377">
        <f>(G31/$G$40)*$H$40</f>
        <v>0.14791312835797357</v>
      </c>
      <c r="I31" s="1377">
        <f>(H31/$G$40)*$H$40</f>
        <v>0.15835885578454648</v>
      </c>
    </row>
    <row r="32" spans="1:9" x14ac:dyDescent="0.2">
      <c r="A32" s="117" t="s">
        <v>384</v>
      </c>
      <c r="B32" s="120" t="s">
        <v>568</v>
      </c>
      <c r="C32" s="55"/>
      <c r="D32" s="55">
        <v>0</v>
      </c>
      <c r="E32" s="55">
        <f>(D32/$D$40)*$E$40</f>
        <v>0</v>
      </c>
      <c r="F32" s="1377"/>
      <c r="G32" s="1446">
        <f>(E32/$D$40)*$F$40</f>
        <v>0</v>
      </c>
      <c r="H32" s="1377"/>
      <c r="I32" s="1377"/>
    </row>
    <row r="33" spans="1:9" x14ac:dyDescent="0.2">
      <c r="A33" s="117" t="s">
        <v>569</v>
      </c>
      <c r="B33" s="120" t="s">
        <v>17</v>
      </c>
      <c r="C33" s="55"/>
      <c r="D33" s="44"/>
      <c r="E33" s="44"/>
      <c r="F33" s="1376"/>
      <c r="G33" s="1445"/>
      <c r="H33" s="1377"/>
      <c r="I33" s="1376"/>
    </row>
    <row r="34" spans="1:9" x14ac:dyDescent="0.2">
      <c r="A34" s="117" t="s">
        <v>18</v>
      </c>
      <c r="B34" s="120" t="s">
        <v>824</v>
      </c>
      <c r="C34" s="55">
        <v>0.4</v>
      </c>
      <c r="D34" s="55">
        <v>0.15327011784761271</v>
      </c>
      <c r="E34" s="55">
        <f>(D34/$D$40)*$E$40</f>
        <v>0.52663627807253599</v>
      </c>
      <c r="F34" s="1377">
        <f>'[30]2.28 to 2.37'!$E$42</f>
        <v>165.0377661</v>
      </c>
      <c r="G34" s="1446">
        <f>'[30]2.28 to 2.37'!$C$42</f>
        <v>200.41114820000001</v>
      </c>
      <c r="H34" s="1377">
        <f t="shared" ref="H34:I37" si="0">(G34/$G$40)*$H$40</f>
        <v>214.56432209729763</v>
      </c>
      <c r="I34" s="1377">
        <f t="shared" si="0"/>
        <v>229.71700292405629</v>
      </c>
    </row>
    <row r="35" spans="1:9" x14ac:dyDescent="0.2">
      <c r="A35" s="117" t="s">
        <v>221</v>
      </c>
      <c r="B35" s="120" t="s">
        <v>333</v>
      </c>
      <c r="C35" s="55">
        <f>'[20]Notes to P&amp; L'!$E$102/10^7</f>
        <v>3.0420430999999999</v>
      </c>
      <c r="D35" s="55">
        <v>1.1656357610862926</v>
      </c>
      <c r="E35" s="55">
        <f>(D35/$D$40)*$E$40</f>
        <v>4.0051256398005988</v>
      </c>
      <c r="F35" s="1377">
        <f>'[30]2.28 to 2.37'!$E$41</f>
        <v>6.3463000000000003</v>
      </c>
      <c r="G35" s="1446">
        <f>'[30]2.28 to 2.37'!$C$41</f>
        <v>7.0486500000000003</v>
      </c>
      <c r="H35" s="1377">
        <f t="shared" si="0"/>
        <v>7.5464305380947714</v>
      </c>
      <c r="I35" s="1377">
        <f t="shared" si="0"/>
        <v>8.0793646820723595</v>
      </c>
    </row>
    <row r="36" spans="1:9" x14ac:dyDescent="0.2">
      <c r="A36" s="117" t="s">
        <v>334</v>
      </c>
      <c r="B36" s="120" t="s">
        <v>335</v>
      </c>
      <c r="C36" s="55">
        <v>35.93</v>
      </c>
      <c r="D36" s="55">
        <v>58.51748833566181</v>
      </c>
      <c r="E36" s="55">
        <f>(D36/$D$40)*$E$40+0.12</f>
        <v>201.18614839225154</v>
      </c>
      <c r="F36" s="1377">
        <f>'[30]2.28 to 2.37'!$E$39</f>
        <v>165.68889800700001</v>
      </c>
      <c r="G36" s="1446">
        <f>'[30]2.28 to 2.37'!$C$39</f>
        <v>148.65971055699998</v>
      </c>
      <c r="H36" s="1377">
        <f t="shared" si="0"/>
        <v>159.15816213483069</v>
      </c>
      <c r="I36" s="1377">
        <f t="shared" si="0"/>
        <v>170.39802162418692</v>
      </c>
    </row>
    <row r="37" spans="1:9" x14ac:dyDescent="0.2">
      <c r="A37" s="122" t="s">
        <v>336</v>
      </c>
      <c r="B37" s="123" t="s">
        <v>729</v>
      </c>
      <c r="C37" s="55">
        <v>116.78</v>
      </c>
      <c r="D37" s="55"/>
      <c r="E37" s="55"/>
      <c r="F37" s="1377">
        <f>'[30]2.28 to 2.37'!$E$36/2</f>
        <v>104.67983510000001</v>
      </c>
      <c r="G37" s="1446">
        <f>'[30]2.28 to 2.37'!$C$36/2</f>
        <v>61.17696445</v>
      </c>
      <c r="H37" s="1377">
        <f t="shared" si="0"/>
        <v>65.497323991603821</v>
      </c>
      <c r="I37" s="1377">
        <f t="shared" si="0"/>
        <v>70.122790312148624</v>
      </c>
    </row>
    <row r="38" spans="1:9" x14ac:dyDescent="0.2">
      <c r="A38" s="117" t="s">
        <v>87</v>
      </c>
      <c r="B38" s="1070" t="s">
        <v>823</v>
      </c>
      <c r="C38" s="55">
        <v>0.09</v>
      </c>
      <c r="D38" s="55">
        <v>3.4485776515712857E-2</v>
      </c>
      <c r="E38" s="55"/>
      <c r="F38" s="1377"/>
      <c r="G38" s="1445"/>
      <c r="H38" s="1377"/>
      <c r="I38" s="1376"/>
    </row>
    <row r="39" spans="1:9" ht="13.5" customHeight="1" x14ac:dyDescent="0.2">
      <c r="A39" s="117" t="s">
        <v>88</v>
      </c>
      <c r="B39" s="1071" t="s">
        <v>1111</v>
      </c>
      <c r="C39" s="55"/>
      <c r="D39" s="55"/>
      <c r="E39" s="55"/>
      <c r="F39" s="1377">
        <f>'[30]2.28 to 2.37'!$E$40</f>
        <v>30.818100000000001</v>
      </c>
      <c r="G39" s="1381"/>
      <c r="H39" s="1377"/>
      <c r="I39" s="1377"/>
    </row>
    <row r="40" spans="1:9" ht="13.5" thickBot="1" x14ac:dyDescent="0.25">
      <c r="A40" s="78"/>
      <c r="B40" s="26" t="s">
        <v>431</v>
      </c>
      <c r="C40" s="198">
        <f>SUM(C8:C39)</f>
        <v>167.599531864</v>
      </c>
      <c r="D40" s="198">
        <f>SUM(D8:D39)</f>
        <v>64.222789094389469</v>
      </c>
      <c r="E40" s="198">
        <f>[4]Sheet1!$W$108</f>
        <v>220.6695675</v>
      </c>
      <c r="F40" s="1378">
        <f>SUM(F8:F39)</f>
        <v>479.97036813900002</v>
      </c>
      <c r="G40" s="1378">
        <f>SUM(G8:G39)</f>
        <v>419.04984771900001</v>
      </c>
      <c r="H40" s="1378">
        <f>'[31]chapter-4'!$I$119</f>
        <v>448.64343779455999</v>
      </c>
      <c r="I40" s="1378">
        <f>'[31]chapter-4'!$J$119</f>
        <v>456.12459814556007</v>
      </c>
    </row>
    <row r="41" spans="1:9" ht="15" x14ac:dyDescent="0.3">
      <c r="D41" s="503"/>
      <c r="E41" s="92"/>
      <c r="F41" s="1379"/>
    </row>
    <row r="42" spans="1:9" x14ac:dyDescent="0.2">
      <c r="A42" s="84"/>
      <c r="B42" s="373"/>
      <c r="E42" s="92"/>
    </row>
    <row r="43" spans="1:9" x14ac:dyDescent="0.2">
      <c r="A43" s="71"/>
      <c r="B43" s="373"/>
      <c r="C43" s="92"/>
      <c r="F43" s="1379"/>
    </row>
  </sheetData>
  <customSheetViews>
    <customSheetView guid="{80837D84-6D11-4A5F-87D7-272A542EF21A}" showGridLines="0" showRuler="0" topLeftCell="A177">
      <selection activeCell="B203" sqref="B203"/>
      <pageMargins left="0.75" right="0.75" top="1" bottom="1" header="0.5" footer="0.5"/>
      <printOptions horizontalCentered="1" gridLines="1"/>
      <pageSetup scale="70" orientation="portrait" horizontalDpi="180" verticalDpi="180" r:id="rId1"/>
      <headerFooter alignWithMargins="0"/>
    </customSheetView>
    <customSheetView guid="{5FF41722-DC20-49D9-9ED5-FEC8C9404ECB}" showPageBreaks="1" showGridLines="0" printArea="1" showRuler="0" topLeftCell="A177">
      <selection activeCell="B203" sqref="B203"/>
      <pageMargins left="0.75" right="0.75" top="1" bottom="1" header="0.5" footer="0.5"/>
      <printOptions horizontalCentered="1" gridLines="1"/>
      <pageSetup scale="70" orientation="portrait" horizontalDpi="180" verticalDpi="180" r:id="rId2"/>
      <headerFooter alignWithMargins="0"/>
    </customSheetView>
    <customSheetView guid="{23A957A0-E704-4A72-A26E-A4FA7FC4849F}" showPageBreaks="1" showGridLines="0" printArea="1" showRuler="0" topLeftCell="A177">
      <selection activeCell="B203" sqref="B203"/>
      <pageMargins left="0.75" right="0.75" top="1" bottom="1" header="0.5" footer="0.5"/>
      <printOptions horizontalCentered="1" gridLines="1"/>
      <pageSetup scale="70" orientation="portrait" horizontalDpi="180" verticalDpi="180" r:id="rId3"/>
      <headerFooter alignWithMargins="0"/>
    </customSheetView>
  </customSheetViews>
  <mergeCells count="1">
    <mergeCell ref="A5:B5"/>
  </mergeCells>
  <phoneticPr fontId="0" type="noConversion"/>
  <printOptions horizontalCentered="1" gridLines="1"/>
  <pageMargins left="0.51181102362204722" right="0.51181102362204722" top="0.74803149606299213" bottom="0.74803149606299213" header="0.51181102362204722" footer="0.51181102362204722"/>
  <pageSetup paperSize="9" orientation="portrait" r:id="rId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50"/>
    <pageSetUpPr fitToPage="1"/>
  </sheetPr>
  <dimension ref="A1:W33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I27"/>
    </sheetView>
  </sheetViews>
  <sheetFormatPr defaultRowHeight="12.75" x14ac:dyDescent="0.2"/>
  <cols>
    <col min="1" max="1" width="3.5703125" style="16" customWidth="1"/>
    <col min="2" max="2" width="44.7109375" style="16" customWidth="1"/>
    <col min="3" max="3" width="9.140625" style="16" hidden="1" customWidth="1"/>
    <col min="4" max="4" width="7.28515625" style="16" hidden="1" customWidth="1"/>
    <col min="5" max="5" width="0" style="16" hidden="1" customWidth="1"/>
    <col min="6" max="6" width="9.140625" style="1049" hidden="1" customWidth="1"/>
    <col min="7" max="8" width="9.140625" style="1049"/>
    <col min="9" max="16384" width="9.140625" style="16"/>
  </cols>
  <sheetData>
    <row r="1" spans="1:23" x14ac:dyDescent="0.2">
      <c r="A1" s="5" t="s">
        <v>499</v>
      </c>
    </row>
    <row r="2" spans="1:23" ht="13.5" thickBot="1" x14ac:dyDescent="0.25">
      <c r="A2" s="5"/>
    </row>
    <row r="3" spans="1:23" ht="13.5" thickBot="1" x14ac:dyDescent="0.25">
      <c r="A3" s="5"/>
      <c r="B3" s="90" t="s">
        <v>109</v>
      </c>
      <c r="I3" s="71" t="s">
        <v>722</v>
      </c>
    </row>
    <row r="4" spans="1:23" ht="28.5" customHeight="1" x14ac:dyDescent="0.2">
      <c r="A4" s="5" t="s">
        <v>80</v>
      </c>
    </row>
    <row r="5" spans="1:23" ht="12" customHeight="1" thickBot="1" x14ac:dyDescent="0.25">
      <c r="A5" s="111"/>
    </row>
    <row r="6" spans="1:23" ht="14.25" customHeight="1" x14ac:dyDescent="0.2">
      <c r="A6" s="1883" t="s">
        <v>67</v>
      </c>
      <c r="B6" s="1881" t="s">
        <v>340</v>
      </c>
      <c r="C6" s="945" t="s">
        <v>634</v>
      </c>
      <c r="D6" s="945" t="s">
        <v>766</v>
      </c>
      <c r="E6" s="945" t="s">
        <v>767</v>
      </c>
      <c r="F6" s="1050" t="s">
        <v>768</v>
      </c>
      <c r="G6" s="1050" t="s">
        <v>878</v>
      </c>
      <c r="H6" s="1050" t="s">
        <v>879</v>
      </c>
      <c r="I6" s="1050" t="s">
        <v>880</v>
      </c>
      <c r="J6" s="687"/>
      <c r="K6" s="687"/>
      <c r="L6" s="687"/>
      <c r="M6" s="687"/>
      <c r="N6" s="687"/>
      <c r="O6" s="687"/>
      <c r="P6" s="687"/>
      <c r="Q6" s="687"/>
      <c r="R6" s="687"/>
      <c r="S6" s="687"/>
      <c r="T6" s="687"/>
      <c r="U6" s="687"/>
      <c r="V6" s="687"/>
      <c r="W6" s="687"/>
    </row>
    <row r="7" spans="1:23" ht="27" customHeight="1" thickBot="1" x14ac:dyDescent="0.25">
      <c r="A7" s="1884"/>
      <c r="B7" s="1882"/>
      <c r="C7" s="1348" t="s">
        <v>885</v>
      </c>
      <c r="D7" s="1348"/>
      <c r="E7" s="1348"/>
      <c r="F7" s="1348"/>
      <c r="G7" s="1348"/>
      <c r="H7" s="1348"/>
      <c r="I7" s="1348"/>
      <c r="J7" s="687"/>
      <c r="K7" s="687"/>
      <c r="L7" s="687"/>
      <c r="M7" s="687"/>
      <c r="N7" s="687"/>
      <c r="O7" s="687"/>
      <c r="P7" s="687"/>
      <c r="Q7" s="687"/>
      <c r="R7" s="687"/>
      <c r="S7" s="687"/>
      <c r="T7" s="687"/>
      <c r="U7" s="687"/>
      <c r="V7" s="687"/>
      <c r="W7" s="687"/>
    </row>
    <row r="8" spans="1:23" x14ac:dyDescent="0.2">
      <c r="A8" s="11"/>
      <c r="B8" s="864" t="s">
        <v>46</v>
      </c>
      <c r="C8" s="696"/>
      <c r="D8" s="696"/>
      <c r="E8" s="696"/>
      <c r="F8" s="1051"/>
      <c r="G8" s="1051"/>
      <c r="H8" s="1051"/>
      <c r="I8" s="1051"/>
      <c r="J8" s="687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</row>
    <row r="9" spans="1:23" x14ac:dyDescent="0.2">
      <c r="A9" s="12">
        <v>1</v>
      </c>
      <c r="B9" s="13" t="s">
        <v>47</v>
      </c>
      <c r="C9" s="707">
        <f>'[20]Notes to P&amp; L'!$F$147/10^7</f>
        <v>55.832617562999999</v>
      </c>
      <c r="D9" s="707">
        <v>57.7</v>
      </c>
      <c r="E9" s="707">
        <f>D9/$D$27*$E$27</f>
        <v>72.183073777331828</v>
      </c>
      <c r="F9" s="1048">
        <f>'[30]2.28 to 2.37'!$E$72</f>
        <v>77.587199645999988</v>
      </c>
      <c r="G9" s="1048">
        <f>'[30]2.28 to 2.37'!$C$72</f>
        <v>70.633653702999993</v>
      </c>
      <c r="H9" s="1048">
        <f>G9/$G$27*$H$27</f>
        <v>86.192404561346791</v>
      </c>
      <c r="I9" s="1048">
        <f>H9/$H$27*$I$27</f>
        <v>94.5611747896005</v>
      </c>
      <c r="J9" s="687"/>
      <c r="K9" s="687"/>
      <c r="L9" s="687"/>
      <c r="M9" s="687"/>
      <c r="N9" s="687"/>
      <c r="O9" s="687"/>
      <c r="P9" s="687"/>
      <c r="Q9" s="687"/>
      <c r="R9" s="687"/>
      <c r="S9" s="687"/>
      <c r="T9" s="687"/>
      <c r="U9" s="687"/>
      <c r="V9" s="687"/>
      <c r="W9" s="687"/>
    </row>
    <row r="10" spans="1:23" ht="38.25" x14ac:dyDescent="0.2">
      <c r="A10" s="12">
        <v>2</v>
      </c>
      <c r="B10" s="13" t="s">
        <v>572</v>
      </c>
      <c r="C10" s="707"/>
      <c r="D10" s="707"/>
      <c r="E10" s="707"/>
      <c r="F10" s="1048"/>
      <c r="G10" s="1048"/>
      <c r="H10" s="1048"/>
      <c r="I10" s="1048"/>
      <c r="J10" s="687"/>
      <c r="K10" s="687"/>
      <c r="L10" s="687"/>
      <c r="M10" s="687"/>
      <c r="N10" s="687"/>
      <c r="O10" s="687"/>
      <c r="P10" s="687"/>
      <c r="Q10" s="687"/>
      <c r="R10" s="687"/>
      <c r="S10" s="687"/>
      <c r="T10" s="687"/>
      <c r="U10" s="687"/>
      <c r="V10" s="687"/>
      <c r="W10" s="687"/>
    </row>
    <row r="11" spans="1:23" x14ac:dyDescent="0.2">
      <c r="A11" s="12">
        <v>3</v>
      </c>
      <c r="B11" s="13" t="s">
        <v>48</v>
      </c>
      <c r="C11" s="707">
        <f>'[20]Notes to P&amp; L'!$E$148/10^7</f>
        <v>2.3087602</v>
      </c>
      <c r="D11" s="707">
        <v>1.43</v>
      </c>
      <c r="E11" s="707">
        <f>D11/$D$27*$E$27</f>
        <v>1.7889392634590033</v>
      </c>
      <c r="F11" s="1048">
        <f>'[30]2.28 to 2.37'!$E$74</f>
        <v>2.4197604149999998</v>
      </c>
      <c r="G11" s="1048">
        <f>'[30]2.28 to 2.37'!$C$74</f>
        <v>2.4633640800000003</v>
      </c>
      <c r="H11" s="1048">
        <f>G11/$G$27*$H$27</f>
        <v>3.00597890996869</v>
      </c>
      <c r="I11" s="1048">
        <f t="shared" ref="I11:I25" si="0">H11/$H$27*$I$27</f>
        <v>3.2978415971338877</v>
      </c>
      <c r="J11" s="687"/>
      <c r="K11" s="687"/>
      <c r="L11" s="687"/>
      <c r="M11" s="687"/>
      <c r="N11" s="687"/>
      <c r="O11" s="687"/>
      <c r="P11" s="687"/>
      <c r="Q11" s="687"/>
      <c r="R11" s="687"/>
      <c r="S11" s="687"/>
      <c r="T11" s="687"/>
      <c r="U11" s="687"/>
      <c r="V11" s="687"/>
      <c r="W11" s="687"/>
    </row>
    <row r="12" spans="1:23" x14ac:dyDescent="0.2">
      <c r="A12" s="12">
        <v>4</v>
      </c>
      <c r="B12" s="13" t="s">
        <v>49</v>
      </c>
      <c r="C12" s="707">
        <f>'[20]Notes to P&amp; L'!$E$149/10^7</f>
        <v>0.50359730000000003</v>
      </c>
      <c r="D12" s="707">
        <v>0.56999999999999995</v>
      </c>
      <c r="E12" s="707">
        <f>D12/$D$27*$E$27</f>
        <v>0.71307369242771468</v>
      </c>
      <c r="F12" s="1048">
        <f>'[30]2.28 to 2.37'!$E$75</f>
        <v>0.41989473200000005</v>
      </c>
      <c r="G12" s="1048">
        <f>'[30]2.28 to 2.37'!$C$75</f>
        <v>0.42120610000000003</v>
      </c>
      <c r="H12" s="1048">
        <f>G12/$G$27*$H$27</f>
        <v>0.51398681324855688</v>
      </c>
      <c r="I12" s="1048">
        <f t="shared" si="0"/>
        <v>0.56389187811268893</v>
      </c>
      <c r="J12" s="687"/>
      <c r="K12" s="687"/>
      <c r="L12" s="687"/>
      <c r="M12" s="687"/>
      <c r="N12" s="687"/>
      <c r="O12" s="687"/>
      <c r="P12" s="687"/>
      <c r="Q12" s="687"/>
      <c r="R12" s="687"/>
      <c r="S12" s="687"/>
      <c r="T12" s="687"/>
      <c r="U12" s="687"/>
      <c r="V12" s="687"/>
      <c r="W12" s="687"/>
    </row>
    <row r="13" spans="1:23" x14ac:dyDescent="0.2">
      <c r="A13" s="12">
        <v>5</v>
      </c>
      <c r="B13" s="13" t="s">
        <v>411</v>
      </c>
      <c r="C13" s="707">
        <v>0</v>
      </c>
      <c r="D13" s="707"/>
      <c r="E13" s="707"/>
      <c r="F13" s="1048"/>
      <c r="G13" s="1048"/>
      <c r="H13" s="1048"/>
      <c r="I13" s="1048"/>
      <c r="J13" s="687"/>
      <c r="K13" s="687"/>
      <c r="L13" s="687"/>
      <c r="M13" s="687"/>
      <c r="N13" s="687"/>
      <c r="O13" s="687"/>
      <c r="P13" s="687"/>
      <c r="Q13" s="687"/>
      <c r="R13" s="687"/>
      <c r="S13" s="687"/>
      <c r="T13" s="687"/>
      <c r="U13" s="687"/>
      <c r="V13" s="687"/>
      <c r="W13" s="687"/>
    </row>
    <row r="14" spans="1:23" x14ac:dyDescent="0.2">
      <c r="A14" s="12">
        <v>6</v>
      </c>
      <c r="B14" s="13" t="s">
        <v>412</v>
      </c>
      <c r="C14" s="707">
        <v>23.6</v>
      </c>
      <c r="D14" s="707">
        <v>14.21</v>
      </c>
      <c r="E14" s="707">
        <f>D14/$D$27*$E$27</f>
        <v>17.776802051575132</v>
      </c>
      <c r="F14" s="1048">
        <f>'[30]2.28 to 2.37'!$E$78</f>
        <v>30.299774074000002</v>
      </c>
      <c r="G14" s="1048">
        <f>'[30]2.28 to 2.37'!$C$78</f>
        <v>28.208953347000001</v>
      </c>
      <c r="H14" s="1048">
        <f>G14/$G$27*$H$27</f>
        <v>34.422649709730557</v>
      </c>
      <c r="I14" s="1048">
        <f t="shared" si="0"/>
        <v>37.764884417469382</v>
      </c>
      <c r="J14" s="687"/>
      <c r="K14" s="687"/>
      <c r="L14" s="687"/>
      <c r="M14" s="687"/>
      <c r="N14" s="687"/>
      <c r="O14" s="687"/>
      <c r="P14" s="687"/>
      <c r="Q14" s="687"/>
      <c r="R14" s="687"/>
      <c r="S14" s="687"/>
      <c r="T14" s="687"/>
      <c r="U14" s="687"/>
      <c r="V14" s="687"/>
      <c r="W14" s="687"/>
    </row>
    <row r="15" spans="1:23" x14ac:dyDescent="0.2">
      <c r="A15" s="12">
        <v>7</v>
      </c>
      <c r="B15" s="865" t="s">
        <v>73</v>
      </c>
      <c r="C15" s="707"/>
      <c r="D15" s="707"/>
      <c r="E15" s="707"/>
      <c r="F15" s="1048"/>
      <c r="G15" s="1048"/>
      <c r="H15" s="1048"/>
      <c r="I15" s="1048"/>
      <c r="J15" s="687"/>
      <c r="K15" s="687"/>
      <c r="L15" s="687"/>
      <c r="M15" s="687"/>
      <c r="N15" s="687"/>
      <c r="O15" s="687"/>
      <c r="P15" s="687"/>
      <c r="Q15" s="687"/>
      <c r="R15" s="687"/>
      <c r="S15" s="687"/>
      <c r="T15" s="687"/>
      <c r="U15" s="687"/>
      <c r="V15" s="687"/>
      <c r="W15" s="687"/>
    </row>
    <row r="16" spans="1:23" x14ac:dyDescent="0.2">
      <c r="A16" s="12">
        <v>8</v>
      </c>
      <c r="B16" s="13" t="s">
        <v>74</v>
      </c>
      <c r="C16" s="707">
        <v>0.72</v>
      </c>
      <c r="D16" s="707">
        <v>0.54</v>
      </c>
      <c r="E16" s="707">
        <f>D16/$D$27*$E$27</f>
        <v>0.67554349808941394</v>
      </c>
      <c r="F16" s="1048">
        <f>'[30]2.28 to 2.37'!$E$79</f>
        <v>0.58128826300000003</v>
      </c>
      <c r="G16" s="1048">
        <f>'[30]2.28 to 2.37'!$C$79</f>
        <v>0.59405264999999996</v>
      </c>
      <c r="H16" s="1048">
        <f>G16/$G$27*$H$27</f>
        <v>0.72490694810773226</v>
      </c>
      <c r="I16" s="1048">
        <f t="shared" si="0"/>
        <v>0.7952911045360449</v>
      </c>
      <c r="J16" s="687"/>
      <c r="K16" s="687"/>
      <c r="L16" s="687"/>
      <c r="M16" s="687"/>
      <c r="N16" s="687"/>
      <c r="O16" s="687"/>
      <c r="P16" s="687"/>
      <c r="Q16" s="687"/>
      <c r="R16" s="687"/>
      <c r="S16" s="687"/>
      <c r="T16" s="687"/>
      <c r="U16" s="687"/>
      <c r="V16" s="687"/>
      <c r="W16" s="687"/>
    </row>
    <row r="17" spans="1:23" x14ac:dyDescent="0.2">
      <c r="A17" s="12">
        <v>9</v>
      </c>
      <c r="B17" s="13" t="s">
        <v>75</v>
      </c>
      <c r="C17" s="707">
        <v>0.01</v>
      </c>
      <c r="D17" s="707">
        <v>0.03</v>
      </c>
      <c r="E17" s="707">
        <f>D17/$D$27*$E$27</f>
        <v>3.7530194338300772E-2</v>
      </c>
      <c r="F17" s="1048">
        <f>'[30]2.28 to 2.37'!$E$80</f>
        <v>1.1673E-3</v>
      </c>
      <c r="G17" s="1048">
        <f>'[30]2.28 to 2.37'!$C$80</f>
        <v>2.0399E-2</v>
      </c>
      <c r="H17" s="1048">
        <f>G17/$G$27*$H$27</f>
        <v>2.4892367426438765E-2</v>
      </c>
      <c r="I17" s="1048">
        <f t="shared" si="0"/>
        <v>2.7309268364396285E-2</v>
      </c>
      <c r="J17" s="687"/>
      <c r="K17" s="687"/>
      <c r="L17" s="687"/>
      <c r="M17" s="687"/>
      <c r="N17" s="687"/>
      <c r="O17" s="687"/>
      <c r="P17" s="687"/>
      <c r="Q17" s="687"/>
      <c r="R17" s="687"/>
      <c r="S17" s="687"/>
      <c r="T17" s="687"/>
      <c r="U17" s="687"/>
      <c r="V17" s="687"/>
      <c r="W17" s="687"/>
    </row>
    <row r="18" spans="1:23" x14ac:dyDescent="0.2">
      <c r="A18" s="12">
        <v>10</v>
      </c>
      <c r="B18" s="13" t="s">
        <v>27</v>
      </c>
      <c r="C18" s="707">
        <v>0.4</v>
      </c>
      <c r="D18" s="707">
        <v>0.39</v>
      </c>
      <c r="E18" s="707">
        <f>D18/$D$27*$E$27</f>
        <v>0.48789252639791009</v>
      </c>
      <c r="F18" s="1048">
        <f>'[30]2.28 to 2.37'!$E$81</f>
        <v>1.0533857</v>
      </c>
      <c r="G18" s="1048">
        <f>'[30]2.28 to 2.37'!$C$81</f>
        <v>3.4892346999999999</v>
      </c>
      <c r="H18" s="1048">
        <f>G18/$G$27*$H$27</f>
        <v>4.257822059389178</v>
      </c>
      <c r="I18" s="1048">
        <f t="shared" si="0"/>
        <v>4.6712312764676591</v>
      </c>
      <c r="J18" s="687"/>
      <c r="K18" s="687"/>
      <c r="L18" s="687"/>
      <c r="M18" s="687"/>
      <c r="N18" s="687"/>
      <c r="O18" s="687"/>
      <c r="P18" s="687"/>
      <c r="Q18" s="687"/>
      <c r="R18" s="687"/>
      <c r="S18" s="687"/>
      <c r="T18" s="687"/>
      <c r="U18" s="687"/>
      <c r="V18" s="687"/>
      <c r="W18" s="687"/>
    </row>
    <row r="19" spans="1:23" x14ac:dyDescent="0.2">
      <c r="A19" s="12">
        <v>11</v>
      </c>
      <c r="B19" s="13" t="s">
        <v>524</v>
      </c>
      <c r="C19" s="707"/>
      <c r="D19" s="707"/>
      <c r="E19" s="707"/>
      <c r="F19" s="1048"/>
      <c r="G19" s="1048">
        <f>'[31]chapter-3'!$G$69-'[31]chapter-3'!$K$64</f>
        <v>5.2289501203743214</v>
      </c>
      <c r="H19" s="1048">
        <f>G19/$G$27*$H$27</f>
        <v>6.3807513922681913</v>
      </c>
      <c r="I19" s="1048">
        <f t="shared" si="0"/>
        <v>7.0002844306752596</v>
      </c>
      <c r="J19" s="687"/>
      <c r="K19" s="687"/>
      <c r="L19" s="687"/>
      <c r="M19" s="687"/>
      <c r="N19" s="687"/>
      <c r="O19" s="687"/>
      <c r="P19" s="687"/>
      <c r="Q19" s="687"/>
      <c r="R19" s="687"/>
      <c r="S19" s="687"/>
      <c r="T19" s="687"/>
      <c r="U19" s="687"/>
      <c r="V19" s="687"/>
      <c r="W19" s="687"/>
    </row>
    <row r="20" spans="1:23" x14ac:dyDescent="0.2">
      <c r="A20" s="12">
        <v>12</v>
      </c>
      <c r="B20" s="13" t="s">
        <v>371</v>
      </c>
      <c r="C20" s="707"/>
      <c r="D20" s="707"/>
      <c r="E20" s="707"/>
      <c r="F20" s="1048"/>
      <c r="G20" s="1048"/>
      <c r="H20" s="1048"/>
      <c r="I20" s="1048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</row>
    <row r="21" spans="1:23" ht="15.75" customHeight="1" x14ac:dyDescent="0.2">
      <c r="A21" s="374">
        <v>13</v>
      </c>
      <c r="B21" s="13" t="s">
        <v>372</v>
      </c>
      <c r="C21" s="707"/>
      <c r="D21" s="707"/>
      <c r="E21" s="707"/>
      <c r="F21" s="1048"/>
      <c r="G21" s="1048"/>
      <c r="H21" s="1048"/>
      <c r="I21" s="1048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7"/>
      <c r="V21" s="687"/>
      <c r="W21" s="687"/>
    </row>
    <row r="22" spans="1:23" ht="15.75" customHeight="1" x14ac:dyDescent="0.2">
      <c r="A22" s="374">
        <v>14</v>
      </c>
      <c r="B22" s="13" t="s">
        <v>769</v>
      </c>
      <c r="C22" s="707">
        <f>'[20]Notes to P&amp; L'!$E$155/10^7</f>
        <v>-3.1597999999999999E-3</v>
      </c>
      <c r="D22" s="707">
        <f>'[7]2.28 to 2.37'!$E$79</f>
        <v>-2.80176E-2</v>
      </c>
      <c r="E22" s="707">
        <f>D22/$D$27*$E$27</f>
        <v>-3.5050199096425858E-2</v>
      </c>
      <c r="F22" s="1048">
        <f>'[30]2.28 to 2.37'!$C$82</f>
        <v>0</v>
      </c>
      <c r="G22" s="1048">
        <f>'[30]2.28 to 2.37'!$C$82</f>
        <v>0</v>
      </c>
      <c r="H22" s="1048">
        <f>G22/$G$27*$H$27</f>
        <v>0</v>
      </c>
      <c r="I22" s="1048">
        <f t="shared" si="0"/>
        <v>0</v>
      </c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</row>
    <row r="23" spans="1:23" ht="15.75" customHeight="1" x14ac:dyDescent="0.2">
      <c r="A23" s="688">
        <v>15</v>
      </c>
      <c r="B23" s="866" t="s">
        <v>806</v>
      </c>
      <c r="C23" s="707"/>
      <c r="D23" s="707"/>
      <c r="E23" s="707"/>
      <c r="F23" s="1048"/>
      <c r="G23" s="1048"/>
      <c r="H23" s="1048"/>
      <c r="I23" s="1048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</row>
    <row r="24" spans="1:23" ht="15.75" customHeight="1" x14ac:dyDescent="0.2">
      <c r="A24" s="374">
        <v>16</v>
      </c>
      <c r="B24" s="13" t="s">
        <v>567</v>
      </c>
      <c r="C24" s="707"/>
      <c r="D24" s="707">
        <f>'[7]2.28 to 2.37'!$E$82</f>
        <v>2.8371596000000001</v>
      </c>
      <c r="E24" s="707">
        <f>D24/$D$27*$E$27</f>
        <v>3.5493050385591896</v>
      </c>
      <c r="F24" s="1048">
        <f>'[30]2.28 to 2.37'!$E$85</f>
        <v>3.7822406000000002</v>
      </c>
      <c r="G24" s="1048">
        <f>'[30]2.28 to 2.37'!$C$85</f>
        <v>3.7717133769999998</v>
      </c>
      <c r="H24" s="1048">
        <f>G24/$G$27*$H$27</f>
        <v>4.602523418182173</v>
      </c>
      <c r="I24" s="1048">
        <f t="shared" si="0"/>
        <v>5.0494010885865181</v>
      </c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</row>
    <row r="25" spans="1:23" ht="15.75" customHeight="1" x14ac:dyDescent="0.2">
      <c r="A25" s="374">
        <v>17</v>
      </c>
      <c r="B25" s="13" t="s">
        <v>884</v>
      </c>
      <c r="C25" s="707"/>
      <c r="D25" s="707">
        <f>'[7]2.28 to 2.37'!$E$83</f>
        <v>0.87139305</v>
      </c>
      <c r="E25" s="707">
        <f>D25/$D$27*$E$27</f>
        <v>1.0901183503848215</v>
      </c>
      <c r="F25" s="1048">
        <v>0</v>
      </c>
      <c r="G25" s="1048">
        <v>0</v>
      </c>
      <c r="H25" s="1048">
        <f>G25/$G$27*$H$27</f>
        <v>0</v>
      </c>
      <c r="I25" s="1048">
        <f t="shared" si="0"/>
        <v>0</v>
      </c>
      <c r="J25" s="687"/>
      <c r="K25" s="687"/>
      <c r="L25" s="687"/>
      <c r="M25" s="687"/>
      <c r="N25" s="687"/>
      <c r="O25" s="687"/>
      <c r="P25" s="687"/>
      <c r="Q25" s="687"/>
      <c r="R25" s="687"/>
      <c r="S25" s="687"/>
      <c r="T25" s="687"/>
      <c r="U25" s="687"/>
      <c r="V25" s="687"/>
      <c r="W25" s="687"/>
    </row>
    <row r="26" spans="1:23" ht="15.75" customHeight="1" x14ac:dyDescent="0.2">
      <c r="A26" s="374"/>
      <c r="B26" s="13"/>
      <c r="C26" s="707"/>
      <c r="D26" s="707"/>
      <c r="E26" s="707"/>
      <c r="F26" s="1048"/>
      <c r="G26" s="1048"/>
      <c r="H26" s="1048"/>
      <c r="I26" s="1048"/>
      <c r="J26" s="687"/>
      <c r="K26" s="687"/>
      <c r="L26" s="687"/>
      <c r="M26" s="687"/>
      <c r="N26" s="687"/>
      <c r="O26" s="687"/>
      <c r="P26" s="687"/>
      <c r="Q26" s="687"/>
      <c r="R26" s="687"/>
      <c r="S26" s="687"/>
      <c r="T26" s="687"/>
      <c r="U26" s="687"/>
      <c r="V26" s="687"/>
      <c r="W26" s="687"/>
    </row>
    <row r="27" spans="1:23" s="5" customFormat="1" x14ac:dyDescent="0.2">
      <c r="A27" s="944"/>
      <c r="B27" s="867" t="s">
        <v>119</v>
      </c>
      <c r="C27" s="838">
        <f>SUM(C9:C26)</f>
        <v>83.371815263000002</v>
      </c>
      <c r="D27" s="838">
        <f>SUM(D9:D26)</f>
        <v>78.550535050000008</v>
      </c>
      <c r="E27" s="838">
        <f>[21]Sheet1!$H$160</f>
        <v>98.267228193466892</v>
      </c>
      <c r="F27" s="1052">
        <f>SUM(F9:F25)</f>
        <v>116.14471073</v>
      </c>
      <c r="G27" s="1052">
        <f>SUM(G9:G25)</f>
        <v>114.83152707737432</v>
      </c>
      <c r="H27" s="1052">
        <f>'[31]chapter-4'!$C$3</f>
        <v>140.12591617966831</v>
      </c>
      <c r="I27" s="1052">
        <f>'[31]chapter-4'!$D$3</f>
        <v>153.73130985094633</v>
      </c>
      <c r="J27" s="929"/>
      <c r="K27" s="929"/>
      <c r="L27" s="929"/>
      <c r="M27" s="929"/>
      <c r="N27" s="929"/>
      <c r="O27" s="929"/>
      <c r="P27" s="929"/>
      <c r="Q27" s="929"/>
      <c r="R27" s="929"/>
      <c r="S27" s="929"/>
      <c r="T27" s="929"/>
      <c r="U27" s="929"/>
      <c r="V27" s="929"/>
      <c r="W27" s="929"/>
    </row>
    <row r="28" spans="1:23" ht="33.75" customHeight="1" x14ac:dyDescent="0.2">
      <c r="A28" s="103"/>
      <c r="C28" s="687"/>
      <c r="D28" s="687"/>
      <c r="E28" s="687"/>
      <c r="F28" s="1053"/>
      <c r="G28" s="1053"/>
      <c r="H28" s="1053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7"/>
      <c r="T28" s="687"/>
      <c r="U28" s="687"/>
      <c r="V28" s="687"/>
      <c r="W28" s="687"/>
    </row>
    <row r="29" spans="1:23" x14ac:dyDescent="0.2">
      <c r="C29" s="687"/>
      <c r="D29" s="687"/>
      <c r="E29" s="687"/>
      <c r="F29" s="1053"/>
      <c r="G29" s="1053"/>
      <c r="H29" s="1053"/>
      <c r="I29" s="687"/>
      <c r="J29" s="687"/>
      <c r="K29" s="687"/>
      <c r="L29" s="687"/>
      <c r="M29" s="687"/>
      <c r="N29" s="687"/>
      <c r="O29" s="687"/>
      <c r="P29" s="687"/>
      <c r="Q29" s="687"/>
      <c r="R29" s="687"/>
      <c r="S29" s="687"/>
      <c r="T29" s="687"/>
      <c r="U29" s="687"/>
      <c r="V29" s="687"/>
      <c r="W29" s="687"/>
    </row>
    <row r="30" spans="1:23" x14ac:dyDescent="0.2">
      <c r="C30" s="687"/>
      <c r="D30" s="687"/>
      <c r="E30" s="687"/>
      <c r="F30" s="1053"/>
      <c r="G30" s="1053"/>
      <c r="H30" s="1053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</row>
    <row r="31" spans="1:23" x14ac:dyDescent="0.2">
      <c r="C31" s="687"/>
      <c r="D31" s="687"/>
      <c r="E31" s="687"/>
      <c r="F31" s="1053"/>
      <c r="G31" s="1053"/>
      <c r="H31" s="1053"/>
      <c r="I31" s="687"/>
      <c r="J31" s="687"/>
      <c r="K31" s="687"/>
      <c r="L31" s="687"/>
      <c r="M31" s="687"/>
      <c r="N31" s="687"/>
      <c r="O31" s="687"/>
      <c r="P31" s="687"/>
      <c r="Q31" s="687"/>
      <c r="R31" s="687"/>
      <c r="S31" s="687"/>
      <c r="T31" s="687"/>
      <c r="U31" s="687"/>
      <c r="V31" s="687"/>
      <c r="W31" s="687"/>
    </row>
    <row r="32" spans="1:23" x14ac:dyDescent="0.2">
      <c r="C32" s="687"/>
      <c r="D32" s="687"/>
      <c r="E32" s="687"/>
      <c r="F32" s="1053"/>
      <c r="G32" s="1053"/>
      <c r="H32" s="1053"/>
      <c r="I32" s="687"/>
      <c r="J32" s="687"/>
      <c r="K32" s="687"/>
      <c r="L32" s="687"/>
      <c r="M32" s="687"/>
      <c r="N32" s="687"/>
      <c r="O32" s="687"/>
      <c r="P32" s="687"/>
      <c r="Q32" s="687"/>
      <c r="R32" s="687"/>
      <c r="S32" s="687"/>
      <c r="T32" s="687"/>
      <c r="U32" s="687"/>
      <c r="V32" s="687"/>
      <c r="W32" s="687"/>
    </row>
    <row r="33" spans="3:23" x14ac:dyDescent="0.2">
      <c r="C33" s="687"/>
      <c r="D33" s="687"/>
      <c r="E33" s="687"/>
      <c r="F33" s="1053"/>
      <c r="G33" s="1053"/>
      <c r="H33" s="1053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</row>
  </sheetData>
  <customSheetViews>
    <customSheetView guid="{80837D84-6D11-4A5F-87D7-272A542EF21A}" showGridLines="0" hiddenColumns="1" showRuler="0" topLeftCell="G93">
      <selection activeCell="M119" sqref="M119"/>
      <pageMargins left="0.75" right="0.75" top="1" bottom="1" header="0.5" footer="0.5"/>
      <printOptions horizontalCentered="1" gridLines="1"/>
      <pageSetup scale="61" orientation="landscape" horizontalDpi="180" verticalDpi="180" r:id="rId1"/>
      <headerFooter alignWithMargins="0"/>
    </customSheetView>
    <customSheetView guid="{5FF41722-DC20-49D9-9ED5-FEC8C9404ECB}" showPageBreaks="1" showGridLines="0" printArea="1" hiddenColumns="1" showRuler="0" topLeftCell="G93">
      <selection activeCell="M119" sqref="M119"/>
      <pageMargins left="0.75" right="0.75" top="1" bottom="1" header="0.5" footer="0.5"/>
      <printOptions horizontalCentered="1" gridLines="1"/>
      <pageSetup scale="61" orientation="landscape" horizontalDpi="180" verticalDpi="180" r:id="rId2"/>
      <headerFooter alignWithMargins="0"/>
    </customSheetView>
    <customSheetView guid="{23A957A0-E704-4A72-A26E-A4FA7FC4849F}" showPageBreaks="1" showGridLines="0" printArea="1" hiddenColumns="1" showRuler="0" topLeftCell="G93">
      <selection activeCell="M119" sqref="M119"/>
      <pageMargins left="0.75" right="0.75" top="1" bottom="1" header="0.5" footer="0.5"/>
      <printOptions horizontalCentered="1" gridLines="1"/>
      <pageSetup scale="61" orientation="landscape" horizontalDpi="180" verticalDpi="180" r:id="rId3"/>
      <headerFooter alignWithMargins="0"/>
    </customSheetView>
  </customSheetViews>
  <mergeCells count="2">
    <mergeCell ref="B6:B7"/>
    <mergeCell ref="A6:A7"/>
  </mergeCells>
  <phoneticPr fontId="0" type="noConversion"/>
  <printOptions horizontalCentered="1" gridLines="1"/>
  <pageMargins left="0.5" right="0.5" top="0.75" bottom="0.5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72"/>
  <sheetViews>
    <sheetView showGridLines="0" topLeftCell="A4" zoomScale="130" zoomScaleNormal="130" zoomScaleSheetLayoutView="75" workbookViewId="0">
      <selection activeCell="E56" sqref="E56:G56"/>
    </sheetView>
  </sheetViews>
  <sheetFormatPr defaultRowHeight="12.75" x14ac:dyDescent="0.2"/>
  <cols>
    <col min="1" max="1" width="4" style="16" customWidth="1"/>
    <col min="2" max="2" width="42" style="16" customWidth="1"/>
    <col min="3" max="3" width="11.7109375" style="16" hidden="1" customWidth="1"/>
    <col min="4" max="4" width="10.5703125" style="16" hidden="1" customWidth="1"/>
    <col min="5" max="5" width="10.28515625" style="16" customWidth="1"/>
    <col min="6" max="6" width="10.85546875" style="16" customWidth="1"/>
    <col min="7" max="7" width="11.85546875" style="16" customWidth="1"/>
    <col min="8" max="8" width="12.7109375" style="16" bestFit="1" customWidth="1"/>
    <col min="9" max="16384" width="9.140625" style="16"/>
  </cols>
  <sheetData>
    <row r="1" spans="1:7" x14ac:dyDescent="0.2">
      <c r="A1" s="1781"/>
      <c r="B1" s="1781"/>
      <c r="C1" s="236"/>
      <c r="D1" s="236"/>
    </row>
    <row r="2" spans="1:7" ht="12.75" customHeight="1" x14ac:dyDescent="0.2">
      <c r="A2" s="1785" t="s">
        <v>338</v>
      </c>
      <c r="B2" s="1786"/>
      <c r="C2" s="236"/>
      <c r="D2" s="236"/>
    </row>
    <row r="3" spans="1:7" x14ac:dyDescent="0.2">
      <c r="A3" s="186"/>
      <c r="B3" s="186"/>
      <c r="C3" s="236"/>
      <c r="D3" s="236"/>
    </row>
    <row r="4" spans="1:7" x14ac:dyDescent="0.2">
      <c r="A4" s="186"/>
      <c r="B4" s="928" t="s">
        <v>109</v>
      </c>
      <c r="C4" s="537"/>
      <c r="D4" s="537"/>
    </row>
    <row r="5" spans="1:7" x14ac:dyDescent="0.2">
      <c r="A5" s="186"/>
      <c r="B5" s="186"/>
    </row>
    <row r="6" spans="1:7" x14ac:dyDescent="0.2">
      <c r="A6" s="1784" t="s">
        <v>166</v>
      </c>
      <c r="B6" s="1783" t="s">
        <v>373</v>
      </c>
      <c r="C6" s="3" t="s">
        <v>771</v>
      </c>
      <c r="D6" s="3" t="s">
        <v>787</v>
      </c>
      <c r="E6" s="3" t="s">
        <v>873</v>
      </c>
      <c r="F6" s="3" t="s">
        <v>874</v>
      </c>
      <c r="G6" s="3" t="s">
        <v>1178</v>
      </c>
    </row>
    <row r="7" spans="1:7" x14ac:dyDescent="0.2">
      <c r="A7" s="1784"/>
      <c r="B7" s="1783"/>
      <c r="C7" s="67"/>
      <c r="D7" s="491"/>
      <c r="E7" s="67"/>
      <c r="F7" s="67"/>
      <c r="G7" s="67"/>
    </row>
    <row r="8" spans="1:7" x14ac:dyDescent="0.2">
      <c r="A8" s="174"/>
      <c r="B8" s="234" t="s">
        <v>114</v>
      </c>
      <c r="C8" s="221">
        <f>'A-1'!C11</f>
        <v>31216.710594637429</v>
      </c>
      <c r="D8" s="221">
        <f>'A-1'!D11</f>
        <v>32960.379180082644</v>
      </c>
      <c r="E8" s="221">
        <f>'A-1'!E11</f>
        <v>32392.69</v>
      </c>
      <c r="F8" s="221">
        <f>'A-1'!F11</f>
        <v>28724.23113933155</v>
      </c>
      <c r="G8" s="221">
        <f>'A-1'!G11</f>
        <v>29955.957698137889</v>
      </c>
    </row>
    <row r="9" spans="1:7" x14ac:dyDescent="0.2">
      <c r="A9" s="174"/>
      <c r="B9" s="234" t="s">
        <v>495</v>
      </c>
      <c r="C9" s="221">
        <f>'A-1'!C12</f>
        <v>29906.78</v>
      </c>
      <c r="D9" s="221">
        <f>'A-1'!D12</f>
        <v>31742.35</v>
      </c>
      <c r="E9" s="221">
        <f>'A-1'!E12</f>
        <v>31625.73</v>
      </c>
      <c r="F9" s="221">
        <f>'A-1'!F12</f>
        <v>27824.588220047684</v>
      </c>
      <c r="G9" s="221">
        <f>'A-1'!G12</f>
        <v>29026.723890341651</v>
      </c>
    </row>
    <row r="10" spans="1:7" x14ac:dyDescent="0.2">
      <c r="A10" s="174"/>
      <c r="B10" s="234" t="s">
        <v>374</v>
      </c>
      <c r="C10" s="221">
        <f>'A-1'!C13</f>
        <v>25967.263280269999</v>
      </c>
      <c r="D10" s="221">
        <f>'A-1'!D13</f>
        <v>27762.471845919998</v>
      </c>
      <c r="E10" s="221">
        <f>'A-1'!E13</f>
        <v>27834.597210999997</v>
      </c>
      <c r="F10" s="221">
        <f>'A-1'!F13</f>
        <v>24485.637633641963</v>
      </c>
      <c r="G10" s="221">
        <f>'A-1'!G13</f>
        <v>25616.083833226505</v>
      </c>
    </row>
    <row r="11" spans="1:7" x14ac:dyDescent="0.2">
      <c r="A11" s="174"/>
      <c r="B11" s="234" t="s">
        <v>375</v>
      </c>
      <c r="C11" s="235">
        <f>(C9-C10)/C9</f>
        <v>0.13172654226666997</v>
      </c>
      <c r="D11" s="235">
        <f>(D9-D10)/D9</f>
        <v>0.1253807028805366</v>
      </c>
      <c r="E11" s="235">
        <f>(E9-E10)/E9</f>
        <v>0.1198749495742866</v>
      </c>
      <c r="F11" s="235">
        <f>(F9-F10)/F9</f>
        <v>0.11999999999999995</v>
      </c>
      <c r="G11" s="235">
        <f>(G9-G10)/G9</f>
        <v>0.11750000000000008</v>
      </c>
    </row>
    <row r="12" spans="1:7" x14ac:dyDescent="0.2">
      <c r="A12" s="174"/>
      <c r="B12" s="234" t="s">
        <v>530</v>
      </c>
      <c r="C12" s="226">
        <f>(C43*10/C10)*100</f>
        <v>689.51556749442</v>
      </c>
      <c r="D12" s="226">
        <f>(D43*10/D10)*100</f>
        <v>786.03567939745028</v>
      </c>
      <c r="E12" s="226">
        <f>(E43*10/E10)*100</f>
        <v>816.61216110285068</v>
      </c>
      <c r="F12" s="226">
        <f>(F43*10/F10)*100</f>
        <v>847.85956359971021</v>
      </c>
      <c r="G12" s="226">
        <f>(G43*10/G10)*100</f>
        <v>954.96149718637093</v>
      </c>
    </row>
    <row r="13" spans="1:7" x14ac:dyDescent="0.2">
      <c r="A13" s="174"/>
      <c r="B13" s="233"/>
      <c r="C13" s="55"/>
      <c r="D13" s="55"/>
      <c r="E13" s="44"/>
      <c r="F13" s="44"/>
      <c r="G13" s="44"/>
    </row>
    <row r="14" spans="1:7" x14ac:dyDescent="0.2">
      <c r="A14" s="1">
        <v>1</v>
      </c>
      <c r="B14" s="4" t="s">
        <v>376</v>
      </c>
      <c r="C14" s="44"/>
      <c r="D14" s="44"/>
      <c r="E14" s="44"/>
      <c r="F14" s="44"/>
      <c r="G14" s="44"/>
    </row>
    <row r="15" spans="1:7" x14ac:dyDescent="0.2">
      <c r="A15" s="1" t="s">
        <v>402</v>
      </c>
      <c r="B15" s="44" t="s">
        <v>281</v>
      </c>
      <c r="C15" s="526">
        <f>'A-1'!C16</f>
        <v>18042.059535268003</v>
      </c>
      <c r="D15" s="526">
        <f>'A-1'!D16</f>
        <v>19538.745396200997</v>
      </c>
      <c r="E15" s="526">
        <f>'A-1'!E16</f>
        <v>21170.697828543871</v>
      </c>
      <c r="F15" s="526">
        <f>'A-1'!F16</f>
        <v>19367.486333615456</v>
      </c>
      <c r="G15" s="526">
        <f>'A-1'!G16</f>
        <v>20905.724444344094</v>
      </c>
    </row>
    <row r="16" spans="1:7" x14ac:dyDescent="0.2">
      <c r="A16" s="1" t="s">
        <v>404</v>
      </c>
      <c r="B16" s="44" t="s">
        <v>377</v>
      </c>
      <c r="C16" s="526">
        <f>'A-1'!C17</f>
        <v>0</v>
      </c>
      <c r="D16" s="526"/>
      <c r="E16" s="44"/>
      <c r="F16" s="44"/>
      <c r="G16" s="44"/>
    </row>
    <row r="17" spans="1:8" x14ac:dyDescent="0.2">
      <c r="A17" s="1"/>
      <c r="B17" s="44" t="s">
        <v>168</v>
      </c>
      <c r="C17" s="529"/>
      <c r="D17" s="529"/>
      <c r="E17" s="44"/>
      <c r="F17" s="44"/>
      <c r="G17" s="44"/>
    </row>
    <row r="18" spans="1:8" x14ac:dyDescent="0.2">
      <c r="A18" s="4"/>
      <c r="B18" s="4" t="s">
        <v>119</v>
      </c>
      <c r="C18" s="528">
        <f>SUM(C15:C17)</f>
        <v>18042.059535268003</v>
      </c>
      <c r="D18" s="528">
        <f>SUM(D15:D17)</f>
        <v>19538.745396200997</v>
      </c>
      <c r="E18" s="528">
        <f>SUM(E15:E17)</f>
        <v>21170.697828543871</v>
      </c>
      <c r="F18" s="528">
        <f>SUM(F15:F17)</f>
        <v>19367.486333615456</v>
      </c>
      <c r="G18" s="528">
        <f>SUM(G15:G17)</f>
        <v>20905.724444344094</v>
      </c>
    </row>
    <row r="19" spans="1:8" x14ac:dyDescent="0.2">
      <c r="A19" s="4"/>
      <c r="B19" s="44"/>
      <c r="C19" s="525"/>
      <c r="D19" s="525"/>
      <c r="E19" s="44"/>
      <c r="F19" s="44"/>
      <c r="G19" s="44"/>
    </row>
    <row r="20" spans="1:8" x14ac:dyDescent="0.2">
      <c r="A20" s="4">
        <v>2</v>
      </c>
      <c r="B20" s="4" t="s">
        <v>378</v>
      </c>
      <c r="C20" s="525"/>
      <c r="D20" s="525"/>
      <c r="E20" s="44"/>
      <c r="F20" s="44"/>
      <c r="G20" s="44"/>
    </row>
    <row r="21" spans="1:8" x14ac:dyDescent="0.2">
      <c r="A21" s="1" t="s">
        <v>402</v>
      </c>
      <c r="B21" s="44" t="s">
        <v>791</v>
      </c>
      <c r="C21" s="526">
        <f>'A-1'!C21</f>
        <v>15123.213698629615</v>
      </c>
      <c r="D21" s="526">
        <f>'A-1'!D21</f>
        <v>18714.60975154932</v>
      </c>
      <c r="E21" s="526">
        <f>'A-1'!E21</f>
        <v>19144.94356137951</v>
      </c>
      <c r="F21" s="526">
        <f>'A-1'!F21</f>
        <v>16705.948746767102</v>
      </c>
      <c r="G21" s="526">
        <f>'A-1'!G21</f>
        <v>17629.567314975498</v>
      </c>
    </row>
    <row r="22" spans="1:8" x14ac:dyDescent="0.2">
      <c r="A22" s="1" t="s">
        <v>404</v>
      </c>
      <c r="B22" s="44" t="s">
        <v>379</v>
      </c>
      <c r="C22" s="526">
        <f>'A-1'!C22</f>
        <v>98.267228193466892</v>
      </c>
      <c r="D22" s="526">
        <f>'A-1'!D22</f>
        <v>116.14471073</v>
      </c>
      <c r="E22" s="526">
        <f>'A-1'!E22</f>
        <v>114.83152707737432</v>
      </c>
      <c r="F22" s="526">
        <f>'A-1'!F22</f>
        <v>140.12591617966831</v>
      </c>
      <c r="G22" s="526">
        <f>'A-1'!G22</f>
        <v>153.73130985094633</v>
      </c>
    </row>
    <row r="23" spans="1:8" x14ac:dyDescent="0.2">
      <c r="A23" s="1" t="s">
        <v>406</v>
      </c>
      <c r="B23" s="44" t="s">
        <v>575</v>
      </c>
      <c r="C23" s="526">
        <f>'A-1'!C23</f>
        <v>1110.6320426349998</v>
      </c>
      <c r="D23" s="526">
        <f>'A-1'!D23</f>
        <v>1364.8707323649999</v>
      </c>
      <c r="E23" s="526">
        <f>'A-1'!E23</f>
        <v>1591.1372525909646</v>
      </c>
      <c r="F23" s="526">
        <f>'A-1'!F23</f>
        <v>1768.6619201672202</v>
      </c>
      <c r="G23" s="526">
        <f>'A-1'!G23</f>
        <v>1940.3884811869509</v>
      </c>
    </row>
    <row r="24" spans="1:8" x14ac:dyDescent="0.2">
      <c r="A24" s="1" t="s">
        <v>408</v>
      </c>
      <c r="B24" s="44" t="s">
        <v>380</v>
      </c>
      <c r="C24" s="526">
        <f>'A-1'!C24</f>
        <v>258.02500401730094</v>
      </c>
      <c r="D24" s="526">
        <f>'A-1'!D24</f>
        <v>319.174986687</v>
      </c>
      <c r="E24" s="526">
        <f>'A-1'!E24</f>
        <v>390.00249550235253</v>
      </c>
      <c r="F24" s="526">
        <f>'A-1'!F24</f>
        <v>411.32711579995953</v>
      </c>
      <c r="G24" s="526">
        <f>'A-1'!G24</f>
        <v>451.26453416412789</v>
      </c>
    </row>
    <row r="25" spans="1:8" x14ac:dyDescent="0.2">
      <c r="A25" s="1" t="s">
        <v>382</v>
      </c>
      <c r="B25" s="44" t="s">
        <v>107</v>
      </c>
      <c r="C25" s="526">
        <f>'A-1'!C26</f>
        <v>454.75</v>
      </c>
      <c r="D25" s="526">
        <f>'A-1'!D26</f>
        <v>530.18000000000006</v>
      </c>
      <c r="E25" s="526">
        <f>'A-1'!E26</f>
        <v>753.5336699770935</v>
      </c>
      <c r="F25" s="526">
        <f>'A-1'!F26</f>
        <v>777.83351809317742</v>
      </c>
      <c r="G25" s="526">
        <f>'A-1'!G26</f>
        <v>915.44584298414179</v>
      </c>
    </row>
    <row r="26" spans="1:8" x14ac:dyDescent="0.2">
      <c r="A26" s="1"/>
      <c r="B26" s="44" t="s">
        <v>173</v>
      </c>
      <c r="C26" s="527">
        <f>'A-1'!C27</f>
        <v>0</v>
      </c>
      <c r="D26" s="527">
        <f>'A-1'!D27</f>
        <v>0</v>
      </c>
      <c r="E26" s="527">
        <f>'A-1'!E27</f>
        <v>0</v>
      </c>
      <c r="F26" s="527">
        <f>'A-1'!F27</f>
        <v>0</v>
      </c>
      <c r="G26" s="527">
        <f>'A-1'!G27</f>
        <v>0</v>
      </c>
    </row>
    <row r="27" spans="1:8" x14ac:dyDescent="0.2">
      <c r="A27" s="1" t="s">
        <v>384</v>
      </c>
      <c r="B27" s="44" t="s">
        <v>381</v>
      </c>
      <c r="C27" s="526">
        <f>'A-1'!C28</f>
        <v>948.80844149999984</v>
      </c>
      <c r="D27" s="526">
        <f>'A-1'!D28</f>
        <v>961.54874046498219</v>
      </c>
      <c r="E27" s="526">
        <f>'A-1'!E28</f>
        <v>1169.6916096329312</v>
      </c>
      <c r="F27" s="526">
        <f>'A-1'!F28</f>
        <v>1353.9392776259861</v>
      </c>
      <c r="G27" s="526">
        <f>'A-1'!G28</f>
        <v>1799.909957625986</v>
      </c>
      <c r="H27" s="1329"/>
    </row>
    <row r="28" spans="1:8" x14ac:dyDescent="0.2">
      <c r="A28" s="1" t="s">
        <v>569</v>
      </c>
      <c r="B28" s="4" t="s">
        <v>286</v>
      </c>
      <c r="C28" s="527">
        <f>'A-1'!C34</f>
        <v>92.830000000000013</v>
      </c>
      <c r="D28" s="527">
        <f>'A-1'!D34</f>
        <v>118.25</v>
      </c>
      <c r="E28" s="527">
        <f>'A-1'!E34</f>
        <v>212.389681</v>
      </c>
      <c r="F28" s="527">
        <f>'A-1'!F34</f>
        <v>223.00916505000001</v>
      </c>
      <c r="G28" s="527">
        <f>'A-1'!G34</f>
        <v>234.15962330250002</v>
      </c>
    </row>
    <row r="29" spans="1:8" x14ac:dyDescent="0.2">
      <c r="A29" s="1" t="s">
        <v>18</v>
      </c>
      <c r="B29" s="44" t="s">
        <v>387</v>
      </c>
      <c r="C29" s="526">
        <f>'A-1'!C35</f>
        <v>-2.3791610029999992</v>
      </c>
      <c r="D29" s="526">
        <f>'A-1'!D35</f>
        <v>19.715205003000001</v>
      </c>
      <c r="E29" s="526">
        <f>'A-1'!E35</f>
        <v>12.20995551</v>
      </c>
      <c r="F29" s="526">
        <f>'A-1'!F35</f>
        <v>0</v>
      </c>
      <c r="G29" s="526">
        <f>'A-1'!G35</f>
        <v>0</v>
      </c>
    </row>
    <row r="30" spans="1:8" x14ac:dyDescent="0.2">
      <c r="A30" s="1" t="s">
        <v>536</v>
      </c>
      <c r="B30" s="44" t="s">
        <v>279</v>
      </c>
      <c r="C30" s="529"/>
      <c r="D30" s="529"/>
      <c r="E30" s="529"/>
      <c r="F30" s="529"/>
      <c r="G30" s="529"/>
    </row>
    <row r="31" spans="1:8" x14ac:dyDescent="0.2">
      <c r="A31" s="1" t="s">
        <v>334</v>
      </c>
      <c r="B31" s="44" t="s">
        <v>91</v>
      </c>
      <c r="C31" s="526">
        <f>'A-1'!C41</f>
        <v>0</v>
      </c>
      <c r="D31" s="526">
        <f>'A-1'!D41</f>
        <v>0</v>
      </c>
      <c r="E31" s="526">
        <f>'A-1'!E41</f>
        <v>0</v>
      </c>
      <c r="F31" s="526">
        <f>'A-1'!F41</f>
        <v>0</v>
      </c>
      <c r="G31" s="526">
        <f>'A-1'!G41</f>
        <v>0</v>
      </c>
    </row>
    <row r="32" spans="1:8" x14ac:dyDescent="0.2">
      <c r="A32" s="1" t="s">
        <v>336</v>
      </c>
      <c r="B32" s="1340" t="s">
        <v>1227</v>
      </c>
      <c r="C32" s="526">
        <f>'A-1'!C44</f>
        <v>0</v>
      </c>
      <c r="D32" s="526">
        <f>'A-1'!D44</f>
        <v>0</v>
      </c>
      <c r="E32" s="526"/>
      <c r="F32" s="526">
        <f>'A-1'!F44</f>
        <v>0</v>
      </c>
      <c r="G32" s="526">
        <f>'A-1'!G45</f>
        <v>384.36750000000006</v>
      </c>
    </row>
    <row r="33" spans="1:16" x14ac:dyDescent="0.2">
      <c r="A33" s="1" t="s">
        <v>87</v>
      </c>
      <c r="B33" s="44" t="s">
        <v>808</v>
      </c>
      <c r="C33" s="526"/>
      <c r="D33" s="526"/>
      <c r="E33" s="526"/>
      <c r="F33" s="526"/>
      <c r="G33" s="526"/>
      <c r="H33" s="58"/>
      <c r="I33" s="58"/>
      <c r="J33" s="58"/>
      <c r="K33" s="58"/>
      <c r="L33" s="58"/>
      <c r="M33" s="58"/>
      <c r="N33" s="58"/>
      <c r="O33" s="58"/>
      <c r="P33" s="58"/>
    </row>
    <row r="34" spans="1:16" x14ac:dyDescent="0.2">
      <c r="A34" s="1" t="s">
        <v>88</v>
      </c>
      <c r="B34" s="44" t="s">
        <v>810</v>
      </c>
      <c r="C34" s="526">
        <f>'A-1'!C47</f>
        <v>0</v>
      </c>
      <c r="D34" s="526">
        <f>'A-1'!D47</f>
        <v>0</v>
      </c>
      <c r="E34" s="526">
        <f>'A-1'!E47</f>
        <v>0</v>
      </c>
      <c r="F34" s="526">
        <f>'A-1'!F47</f>
        <v>0</v>
      </c>
      <c r="G34" s="526">
        <f>'A-1'!G47</f>
        <v>0</v>
      </c>
      <c r="H34" s="58"/>
      <c r="I34" s="58"/>
      <c r="J34" s="58"/>
      <c r="K34" s="58"/>
      <c r="L34" s="58"/>
      <c r="M34" s="58"/>
      <c r="N34" s="58"/>
      <c r="O34" s="58"/>
      <c r="P34" s="58"/>
    </row>
    <row r="35" spans="1:16" x14ac:dyDescent="0.2">
      <c r="A35" s="1"/>
      <c r="B35" s="4" t="s">
        <v>119</v>
      </c>
      <c r="C35" s="528">
        <f>SUM(C21:C27)+C29+C30+C31-C28+C32+C34</f>
        <v>17898.487253972384</v>
      </c>
      <c r="D35" s="528">
        <f>SUM(D21:D27)+D29+D30+D31-D28+D32+D34</f>
        <v>21907.994126799309</v>
      </c>
      <c r="E35" s="528">
        <f>SUM(E21:E27)-E28+E29</f>
        <v>22963.960390670221</v>
      </c>
      <c r="F35" s="528">
        <f>SUM(F21:F27)+F29+F30+F31-F28+F32+F34</f>
        <v>20934.827329583113</v>
      </c>
      <c r="G35" s="528">
        <f>SUM(G21:G27)+G29+G30+G31-G28+G32+G34+G33</f>
        <v>23040.515317485155</v>
      </c>
      <c r="H35" s="950"/>
      <c r="I35" s="950"/>
      <c r="J35" s="950"/>
      <c r="K35" s="950"/>
      <c r="L35" s="58"/>
      <c r="M35" s="58"/>
      <c r="N35" s="58"/>
      <c r="O35" s="58"/>
      <c r="P35" s="58"/>
    </row>
    <row r="36" spans="1:16" x14ac:dyDescent="0.2">
      <c r="A36" s="4">
        <v>3</v>
      </c>
      <c r="B36" s="4" t="s">
        <v>657</v>
      </c>
      <c r="C36" s="528">
        <f>'A-1'!C49</f>
        <v>132.9845905</v>
      </c>
      <c r="D36" s="528">
        <f>'A-1'!D49</f>
        <v>163.85966049999999</v>
      </c>
      <c r="E36" s="528">
        <f>'A-1'!E49</f>
        <v>179.33086185086833</v>
      </c>
      <c r="F36" s="528">
        <f>'A-1'!F49</f>
        <v>273.19814673176381</v>
      </c>
      <c r="G36" s="528">
        <f>'A-1'!G49</f>
        <v>317.61029673176375</v>
      </c>
      <c r="H36" s="58"/>
      <c r="I36" s="58"/>
      <c r="J36" s="58"/>
      <c r="K36" s="58"/>
      <c r="L36" s="58"/>
      <c r="M36" s="58"/>
      <c r="N36" s="58"/>
      <c r="O36" s="58"/>
      <c r="P36" s="58"/>
    </row>
    <row r="37" spans="1:16" x14ac:dyDescent="0.2">
      <c r="A37" s="4"/>
      <c r="B37" s="44"/>
      <c r="C37" s="526"/>
      <c r="D37" s="526"/>
      <c r="E37" s="526"/>
      <c r="F37" s="526"/>
      <c r="G37" s="526"/>
      <c r="H37" s="58"/>
      <c r="I37" s="58"/>
      <c r="J37" s="58"/>
      <c r="K37" s="58"/>
      <c r="L37" s="58"/>
      <c r="M37" s="58"/>
      <c r="N37" s="58"/>
      <c r="O37" s="58"/>
      <c r="P37" s="58"/>
    </row>
    <row r="38" spans="1:16" x14ac:dyDescent="0.2">
      <c r="A38" s="4">
        <v>4</v>
      </c>
      <c r="B38" s="4" t="s">
        <v>168</v>
      </c>
      <c r="C38" s="528">
        <f>'A-1'!C18</f>
        <v>220.6695675</v>
      </c>
      <c r="D38" s="528">
        <f>'A-1'!D18</f>
        <v>479.97036813900002</v>
      </c>
      <c r="E38" s="528">
        <f>'A-1'!E18</f>
        <v>419.04984771900001</v>
      </c>
      <c r="F38" s="528">
        <f>'A-1'!F18</f>
        <v>448.64343779455999</v>
      </c>
      <c r="G38" s="528">
        <f>'A-1'!G18</f>
        <v>456.12459814556007</v>
      </c>
      <c r="H38" s="1479"/>
      <c r="I38" s="58"/>
      <c r="J38" s="58"/>
      <c r="K38" s="58"/>
      <c r="L38" s="58"/>
      <c r="M38" s="58"/>
      <c r="N38" s="58"/>
      <c r="O38" s="58"/>
      <c r="P38" s="58"/>
    </row>
    <row r="39" spans="1:16" x14ac:dyDescent="0.2">
      <c r="A39" s="4"/>
      <c r="B39" s="4"/>
      <c r="C39" s="528"/>
      <c r="D39" s="528"/>
      <c r="E39" s="528"/>
      <c r="F39" s="528"/>
      <c r="G39" s="528"/>
      <c r="H39" s="58"/>
      <c r="I39" s="58"/>
      <c r="J39" s="58"/>
      <c r="K39" s="58"/>
      <c r="L39" s="58"/>
      <c r="M39" s="58"/>
      <c r="N39" s="58"/>
      <c r="O39" s="58"/>
      <c r="P39" s="58"/>
    </row>
    <row r="40" spans="1:16" x14ac:dyDescent="0.2">
      <c r="A40" s="4">
        <v>5</v>
      </c>
      <c r="B40" s="4" t="s">
        <v>110</v>
      </c>
      <c r="C40" s="528">
        <f>'A-1'!C39</f>
        <v>94.03</v>
      </c>
      <c r="D40" s="528">
        <f>'A-1'!D39</f>
        <v>230.41</v>
      </c>
      <c r="E40" s="528">
        <f>'A-1'!E39</f>
        <v>5.8291771000000026</v>
      </c>
      <c r="F40" s="528">
        <f>'A-1'!F39</f>
        <v>0</v>
      </c>
      <c r="G40" s="528">
        <f>'A-1'!G39</f>
        <v>0</v>
      </c>
      <c r="H40" s="58"/>
      <c r="I40" s="58"/>
      <c r="J40" s="58"/>
      <c r="K40" s="58"/>
      <c r="L40" s="58"/>
      <c r="M40" s="58"/>
      <c r="N40" s="58"/>
      <c r="O40" s="58"/>
      <c r="P40" s="58"/>
    </row>
    <row r="41" spans="1:16" ht="25.5" x14ac:dyDescent="0.2">
      <c r="A41" s="4">
        <v>6</v>
      </c>
      <c r="B41" s="77" t="s">
        <v>599</v>
      </c>
      <c r="C41" s="529"/>
      <c r="D41" s="529"/>
      <c r="E41" s="529"/>
      <c r="F41" s="529">
        <v>1</v>
      </c>
      <c r="G41" s="529">
        <v>1</v>
      </c>
      <c r="H41" s="58"/>
      <c r="I41" s="58"/>
      <c r="J41" s="58"/>
      <c r="K41" s="58"/>
      <c r="L41" s="58"/>
      <c r="M41" s="58"/>
      <c r="N41" s="58"/>
      <c r="O41" s="58"/>
      <c r="P41" s="58"/>
    </row>
    <row r="42" spans="1:16" x14ac:dyDescent="0.2">
      <c r="A42" s="4">
        <v>7</v>
      </c>
      <c r="B42" s="1340" t="s">
        <v>1228</v>
      </c>
      <c r="C42" s="529"/>
      <c r="D42" s="525"/>
      <c r="E42" s="1480">
        <f>'A-1'!E48</f>
        <v>0</v>
      </c>
      <c r="F42" s="525"/>
      <c r="G42" s="1480">
        <f>-E45</f>
        <v>1559.3727533582169</v>
      </c>
      <c r="H42" s="58"/>
      <c r="I42" s="58"/>
      <c r="J42" s="58"/>
      <c r="K42" s="58"/>
      <c r="L42" s="58"/>
      <c r="M42" s="58"/>
      <c r="N42" s="58"/>
      <c r="O42" s="58"/>
      <c r="P42" s="58"/>
    </row>
    <row r="43" spans="1:16" x14ac:dyDescent="0.2">
      <c r="A43" s="4">
        <v>8</v>
      </c>
      <c r="B43" s="4" t="s">
        <v>410</v>
      </c>
      <c r="C43" s="528">
        <f>C35+C36+C40-C38+C41+C42</f>
        <v>17904.832276972382</v>
      </c>
      <c r="D43" s="528">
        <f>D35+D36+D40-D38+D41+D42</f>
        <v>21822.293419160309</v>
      </c>
      <c r="E43" s="528">
        <f>E35+E36+E40-E38+E42</f>
        <v>22730.070581902088</v>
      </c>
      <c r="F43" s="528">
        <f>F35+F36+F40-F38+F41+F42</f>
        <v>20760.382038520318</v>
      </c>
      <c r="G43" s="528">
        <f>G35+G36+G40-G38+G41+G42</f>
        <v>24462.373769429574</v>
      </c>
      <c r="H43" s="1777"/>
      <c r="I43" s="58"/>
      <c r="J43" s="58"/>
      <c r="K43" s="58"/>
      <c r="L43" s="58"/>
      <c r="M43" s="58"/>
      <c r="N43" s="58"/>
      <c r="O43" s="58"/>
      <c r="P43" s="58"/>
    </row>
    <row r="44" spans="1:16" x14ac:dyDescent="0.2">
      <c r="A44" s="4"/>
      <c r="B44" s="44"/>
      <c r="C44" s="526"/>
      <c r="D44" s="526"/>
      <c r="E44" s="526"/>
      <c r="F44" s="526"/>
      <c r="G44" s="526"/>
      <c r="H44" s="58"/>
      <c r="I44" s="58"/>
      <c r="J44" s="58"/>
      <c r="K44" s="58"/>
      <c r="L44" s="58"/>
      <c r="M44" s="58"/>
      <c r="N44" s="58"/>
      <c r="O44" s="58"/>
      <c r="P44" s="58"/>
    </row>
    <row r="45" spans="1:16" x14ac:dyDescent="0.2">
      <c r="A45" s="4">
        <v>7</v>
      </c>
      <c r="B45" s="4" t="s">
        <v>111</v>
      </c>
      <c r="C45" s="538">
        <f>(C18-C43)+C44</f>
        <v>137.22725829562114</v>
      </c>
      <c r="D45" s="951">
        <f>(D18-D43)+D44</f>
        <v>-2283.5480229593122</v>
      </c>
      <c r="E45" s="1723">
        <f>(E18-E43)+E44</f>
        <v>-1559.3727533582169</v>
      </c>
      <c r="F45" s="1723">
        <f>(F18-F43)+F44</f>
        <v>-1392.8957049048622</v>
      </c>
      <c r="G45" s="1723">
        <f>(G18-G43)+G44</f>
        <v>-3556.6493250854801</v>
      </c>
      <c r="H45" s="1329"/>
    </row>
    <row r="46" spans="1:16" s="19" customFormat="1" x14ac:dyDescent="0.2">
      <c r="A46" s="370"/>
      <c r="B46" s="367" t="s">
        <v>756</v>
      </c>
      <c r="C46" s="526"/>
      <c r="D46" s="526"/>
      <c r="E46" s="526"/>
      <c r="F46" s="526"/>
      <c r="G46" s="526"/>
    </row>
    <row r="47" spans="1:16" s="19" customFormat="1" x14ac:dyDescent="0.2">
      <c r="A47" s="371"/>
      <c r="B47" s="371"/>
      <c r="C47" s="526"/>
      <c r="D47" s="526"/>
      <c r="E47" s="996"/>
      <c r="F47" s="526"/>
      <c r="G47" s="526"/>
    </row>
    <row r="48" spans="1:16" s="19" customFormat="1" x14ac:dyDescent="0.2">
      <c r="A48" s="371">
        <v>8</v>
      </c>
      <c r="B48" s="371" t="s">
        <v>142</v>
      </c>
      <c r="C48" s="526"/>
      <c r="D48" s="526"/>
      <c r="E48" s="526"/>
      <c r="F48" s="526"/>
      <c r="G48" s="526"/>
      <c r="I48" s="1706"/>
    </row>
    <row r="49" spans="1:7" s="19" customFormat="1" x14ac:dyDescent="0.2">
      <c r="A49" s="370"/>
      <c r="B49" s="370"/>
      <c r="C49" s="526"/>
      <c r="D49" s="526"/>
      <c r="E49" s="526"/>
      <c r="F49" s="526"/>
      <c r="G49" s="526"/>
    </row>
    <row r="50" spans="1:7" s="19" customFormat="1" x14ac:dyDescent="0.2">
      <c r="A50" s="371">
        <v>9</v>
      </c>
      <c r="B50" s="371" t="s">
        <v>510</v>
      </c>
      <c r="C50" s="526"/>
      <c r="D50" s="526"/>
      <c r="E50" s="526"/>
      <c r="F50" s="526"/>
      <c r="G50" s="526"/>
    </row>
    <row r="51" spans="1:7" s="19" customFormat="1" x14ac:dyDescent="0.2">
      <c r="A51" s="370"/>
      <c r="B51" s="371" t="s">
        <v>757</v>
      </c>
      <c r="C51" s="526"/>
      <c r="D51" s="526"/>
      <c r="E51" s="526"/>
      <c r="F51" s="526"/>
      <c r="G51" s="526"/>
    </row>
    <row r="52" spans="1:7" s="256" customFormat="1" x14ac:dyDescent="0.2">
      <c r="A52" s="1782"/>
      <c r="B52" s="1782"/>
      <c r="C52" s="530"/>
      <c r="D52" s="530"/>
      <c r="E52" s="530"/>
      <c r="F52" s="530"/>
      <c r="G52" s="530"/>
    </row>
    <row r="53" spans="1:7" s="369" customFormat="1" x14ac:dyDescent="0.2">
      <c r="A53" s="357"/>
      <c r="B53" s="357"/>
      <c r="C53" s="531"/>
      <c r="D53" s="531"/>
    </row>
    <row r="54" spans="1:7" s="369" customFormat="1" x14ac:dyDescent="0.2">
      <c r="A54" s="357"/>
      <c r="B54" s="357"/>
      <c r="C54" s="532"/>
      <c r="D54" s="532">
        <f>D45/D10</f>
        <v>-8.22530513721135E-2</v>
      </c>
      <c r="E54" s="58"/>
      <c r="F54" s="58"/>
      <c r="G54" s="58"/>
    </row>
    <row r="55" spans="1:7" x14ac:dyDescent="0.2">
      <c r="A55" s="357"/>
      <c r="B55" s="357"/>
      <c r="C55" s="427"/>
      <c r="D55" s="427"/>
      <c r="E55" s="92"/>
    </row>
    <row r="56" spans="1:7" x14ac:dyDescent="0.2">
      <c r="A56" s="357"/>
      <c r="B56" s="368"/>
      <c r="C56" s="58"/>
      <c r="D56" s="58">
        <f>'[28]chapter-5'!$C$217</f>
        <v>-2561.2425055559106</v>
      </c>
    </row>
    <row r="57" spans="1:7" x14ac:dyDescent="0.2">
      <c r="A57" s="357"/>
      <c r="B57" s="368"/>
      <c r="D57" s="1329">
        <f>D45-D56</f>
        <v>277.69448259659839</v>
      </c>
      <c r="E57" s="1329"/>
      <c r="F57" s="1329"/>
    </row>
    <row r="58" spans="1:7" x14ac:dyDescent="0.2">
      <c r="A58" s="357"/>
      <c r="B58" s="368"/>
    </row>
    <row r="59" spans="1:7" x14ac:dyDescent="0.2">
      <c r="A59" s="357"/>
      <c r="B59" s="368"/>
    </row>
    <row r="60" spans="1:7" x14ac:dyDescent="0.2">
      <c r="B60" s="256"/>
    </row>
    <row r="61" spans="1:7" x14ac:dyDescent="0.2">
      <c r="B61" s="256"/>
    </row>
    <row r="72" spans="15:15" x14ac:dyDescent="0.2">
      <c r="O72" s="16">
        <f>N72+21.85</f>
        <v>21.85</v>
      </c>
    </row>
  </sheetData>
  <customSheetViews>
    <customSheetView guid="{80837D84-6D11-4A5F-87D7-272A542EF21A}" showGridLines="0" fitToPage="1" hiddenColumns="1" showRuler="0">
      <selection activeCell="G17" sqref="G17"/>
      <pageMargins left="0.75" right="0.75" top="1" bottom="1" header="0.5" footer="0.5"/>
      <pageSetup paperSize="9" scale="85" orientation="portrait" r:id="rId1"/>
      <headerFooter alignWithMargins="0"/>
    </customSheetView>
    <customSheetView guid="{5FF41722-DC20-49D9-9ED5-FEC8C9404ECB}" showPageBreaks="1" showGridLines="0" fitToPage="1" printArea="1" hiddenColumns="1" showRuler="0">
      <selection activeCell="G17" sqref="G17"/>
      <pageMargins left="0.75" right="0.75" top="1" bottom="1" header="0.5" footer="0.5"/>
      <pageSetup paperSize="9" scale="85" orientation="portrait" r:id="rId2"/>
      <headerFooter alignWithMargins="0"/>
    </customSheetView>
    <customSheetView guid="{23A957A0-E704-4A72-A26E-A4FA7FC4849F}" showPageBreaks="1" showGridLines="0" fitToPage="1" printArea="1" hiddenColumns="1" showRuler="0">
      <selection activeCell="G17" sqref="G17"/>
      <pageMargins left="0.75" right="0.75" top="1" bottom="1" header="0.5" footer="0.5"/>
      <pageSetup paperSize="9" scale="85" orientation="portrait" r:id="rId3"/>
      <headerFooter alignWithMargins="0"/>
    </customSheetView>
  </customSheetViews>
  <mergeCells count="5">
    <mergeCell ref="A1:B1"/>
    <mergeCell ref="A52:B52"/>
    <mergeCell ref="B6:B7"/>
    <mergeCell ref="A6:A7"/>
    <mergeCell ref="A2:B2"/>
  </mergeCells>
  <phoneticPr fontId="0" type="noConversion"/>
  <printOptions horizontalCentered="1"/>
  <pageMargins left="0" right="0" top="0.59055118110236227" bottom="0.19685039370078741" header="0.70866141732283472" footer="0.51181102362204722"/>
  <pageSetup paperSize="9" fitToWidth="0" orientation="portrait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K31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I27"/>
    </sheetView>
  </sheetViews>
  <sheetFormatPr defaultRowHeight="12.75" x14ac:dyDescent="0.2"/>
  <cols>
    <col min="1" max="1" width="4.140625" style="19" customWidth="1"/>
    <col min="2" max="2" width="42.85546875" style="19" customWidth="1"/>
    <col min="3" max="3" width="17" style="19" hidden="1" customWidth="1"/>
    <col min="4" max="4" width="14.140625" style="687" hidden="1" customWidth="1"/>
    <col min="5" max="5" width="11.140625" style="1382" hidden="1" customWidth="1"/>
    <col min="6" max="6" width="9.140625" style="1382" hidden="1" customWidth="1"/>
    <col min="7" max="8" width="9.140625" style="1382"/>
    <col min="9" max="9" width="9.140625" style="1383"/>
    <col min="10" max="16384" width="9.140625" style="19"/>
  </cols>
  <sheetData>
    <row r="1" spans="1:9" x14ac:dyDescent="0.2">
      <c r="A1" s="51" t="s">
        <v>499</v>
      </c>
      <c r="D1" s="1763"/>
      <c r="E1" s="1764"/>
      <c r="F1" s="1764"/>
      <c r="G1" s="1764"/>
      <c r="H1" s="1764"/>
    </row>
    <row r="2" spans="1:9" x14ac:dyDescent="0.2">
      <c r="A2" s="51"/>
      <c r="D2" s="1763"/>
      <c r="E2" s="1764"/>
      <c r="F2" s="1764"/>
      <c r="G2" s="1764"/>
      <c r="H2" s="1764"/>
    </row>
    <row r="3" spans="1:9" x14ac:dyDescent="0.2">
      <c r="A3" s="51"/>
      <c r="B3" s="6" t="s">
        <v>434</v>
      </c>
      <c r="D3" s="1763"/>
      <c r="E3" s="1764"/>
      <c r="F3" s="1764"/>
      <c r="G3" s="1764"/>
      <c r="H3" s="1764"/>
      <c r="I3" s="1765" t="s">
        <v>723</v>
      </c>
    </row>
    <row r="4" spans="1:9" ht="13.5" thickBot="1" x14ac:dyDescent="0.25">
      <c r="D4" s="1763"/>
      <c r="E4" s="1764"/>
      <c r="F4" s="1764"/>
      <c r="G4" s="1764"/>
      <c r="H4" s="1764"/>
    </row>
    <row r="5" spans="1:9" ht="13.5" customHeight="1" thickBot="1" x14ac:dyDescent="0.25">
      <c r="A5" s="1766"/>
      <c r="B5" s="1767" t="s">
        <v>109</v>
      </c>
      <c r="C5" s="1768"/>
      <c r="D5" s="1769"/>
      <c r="E5" s="1770"/>
      <c r="F5" s="1770"/>
      <c r="G5" s="1770"/>
      <c r="H5" s="1770"/>
      <c r="I5" s="1771"/>
    </row>
    <row r="6" spans="1:9" ht="30" customHeight="1" thickBot="1" x14ac:dyDescent="0.25">
      <c r="A6" s="1412" t="s">
        <v>67</v>
      </c>
      <c r="B6" s="1413" t="s">
        <v>340</v>
      </c>
      <c r="C6" s="1414" t="s">
        <v>634</v>
      </c>
      <c r="D6" s="1415" t="s">
        <v>766</v>
      </c>
      <c r="E6" s="1416" t="s">
        <v>767</v>
      </c>
      <c r="F6" s="1416" t="s">
        <v>768</v>
      </c>
      <c r="G6" s="1416" t="s">
        <v>878</v>
      </c>
      <c r="H6" s="1416" t="s">
        <v>879</v>
      </c>
      <c r="I6" s="1417" t="s">
        <v>880</v>
      </c>
    </row>
    <row r="7" spans="1:9" x14ac:dyDescent="0.2">
      <c r="A7" s="230">
        <v>1</v>
      </c>
      <c r="B7" s="1408" t="s">
        <v>28</v>
      </c>
      <c r="C7" s="1409">
        <f>'[20]Notes to P&amp; L'!$E$165/10^7</f>
        <v>400.44014812699999</v>
      </c>
      <c r="D7" s="1410">
        <f>'[7]2.28 to 2.37'!$E$91</f>
        <v>402.584564301</v>
      </c>
      <c r="E7" s="1411">
        <f>'[3]2.28 to 2.37'!$E$94</f>
        <v>551.33120184799998</v>
      </c>
      <c r="F7" s="1411">
        <f>'[30]2.28 to 2.37'!$E$94</f>
        <v>700.93707759999995</v>
      </c>
      <c r="G7" s="1411">
        <f>'[30]2.28 to 2.37'!$C$94</f>
        <v>753.73347709999996</v>
      </c>
      <c r="H7" s="1411">
        <f>G7/$G$27*$H$27</f>
        <v>837.82822426614553</v>
      </c>
      <c r="I7" s="1411">
        <f>H7/$H$27*$I$27</f>
        <v>919.17636550101179</v>
      </c>
    </row>
    <row r="8" spans="1:9" x14ac:dyDescent="0.2">
      <c r="A8" s="227">
        <v>2</v>
      </c>
      <c r="B8" s="225" t="s">
        <v>435</v>
      </c>
      <c r="C8" s="704">
        <f>'[20]Notes to P&amp; L'!$E$166/10^7</f>
        <v>10.737643500000001</v>
      </c>
      <c r="D8" s="707">
        <f>'[7]2.28 to 2.37'!$E$92</f>
        <v>11.682071799999999</v>
      </c>
      <c r="E8" s="1385">
        <f>'[3]2.28 to 2.37'!$E$95</f>
        <v>8.1011447770000018</v>
      </c>
      <c r="F8" s="1385">
        <f>'[30]2.28 to 2.37'!$E$95</f>
        <v>9.9948689000000002</v>
      </c>
      <c r="G8" s="1385">
        <f>'[30]2.28 to 2.37'!$C$95</f>
        <v>15.1222686</v>
      </c>
      <c r="H8" s="1385">
        <f>G8/$G$27*$H$27</f>
        <v>16.809474214627119</v>
      </c>
      <c r="I8" s="1385">
        <f t="shared" ref="I8:I25" si="0">H8/$H$27*$I$27</f>
        <v>18.441574259589267</v>
      </c>
    </row>
    <row r="9" spans="1:9" x14ac:dyDescent="0.2">
      <c r="A9" s="227">
        <v>3</v>
      </c>
      <c r="B9" s="14" t="s">
        <v>29</v>
      </c>
      <c r="C9" s="704">
        <f>'[20]Notes to P&amp; L'!$E$167/10^7</f>
        <v>124.3610376</v>
      </c>
      <c r="D9" s="707">
        <f>'[7]2.28 to 2.37'!$E$93</f>
        <v>152.10911820000001</v>
      </c>
      <c r="E9" s="1385">
        <f>'[3]2.28 to 2.37'!$E$96</f>
        <v>174.71835530000001</v>
      </c>
      <c r="F9" s="1385">
        <f>'[30]2.28 to 2.37'!$E$96</f>
        <v>102.594293143</v>
      </c>
      <c r="G9" s="1385">
        <f>'[30]2.28 to 2.37'!$C$96</f>
        <v>76.994703756999996</v>
      </c>
      <c r="H9" s="1385">
        <f>G9/$G$27*$H$27</f>
        <v>85.585074680272854</v>
      </c>
      <c r="I9" s="1385">
        <f t="shared" si="0"/>
        <v>93.894876786528712</v>
      </c>
    </row>
    <row r="10" spans="1:9" x14ac:dyDescent="0.2">
      <c r="A10" s="227">
        <v>4</v>
      </c>
      <c r="B10" s="14" t="s">
        <v>30</v>
      </c>
      <c r="C10" s="704">
        <f>'[20]Notes to P&amp; L'!$E$168/10^7</f>
        <v>94.441857999999996</v>
      </c>
      <c r="D10" s="707">
        <f>'[7]2.28 to 2.37'!$E$94</f>
        <v>96.548668649999996</v>
      </c>
      <c r="E10" s="1385">
        <f>'[3]2.28 to 2.37'!$E$97</f>
        <v>96.116194394000004</v>
      </c>
      <c r="F10" s="1385">
        <f>'[30]2.28 to 2.37'!$E$97</f>
        <v>162.194757063</v>
      </c>
      <c r="G10" s="1385">
        <f>'[30]2.28 to 2.37'!$C$97</f>
        <v>147.78034242799998</v>
      </c>
      <c r="H10" s="1385">
        <f>G10/$G$27*$H$27</f>
        <v>164.26833309072637</v>
      </c>
      <c r="I10" s="1385">
        <f t="shared" si="0"/>
        <v>180.21781196198913</v>
      </c>
    </row>
    <row r="11" spans="1:9" ht="13.5" thickBot="1" x14ac:dyDescent="0.25">
      <c r="A11" s="228">
        <v>5</v>
      </c>
      <c r="B11" s="14" t="s">
        <v>31</v>
      </c>
      <c r="C11" s="704">
        <f>'[20]Notes to P&amp; L'!$E$170/10^7</f>
        <v>14.772786</v>
      </c>
      <c r="D11" s="707">
        <f>'[7]2.28 to 2.37'!$E$98</f>
        <v>10.2245477</v>
      </c>
      <c r="E11" s="1385">
        <f>'[3]2.28 to 2.37'!$E$101</f>
        <v>11.684551170000001</v>
      </c>
      <c r="F11" s="1385">
        <f>'[30]2.28 to 2.37'!$C$101</f>
        <v>11.2451162</v>
      </c>
      <c r="G11" s="1385">
        <f>'[30]2.28 to 2.37'!$C$101</f>
        <v>11.2451162</v>
      </c>
      <c r="H11" s="1385">
        <f>G11/$G$27*$H$27</f>
        <v>12.499744304527544</v>
      </c>
      <c r="I11" s="1385">
        <f t="shared" si="0"/>
        <v>13.713395188603533</v>
      </c>
    </row>
    <row r="12" spans="1:9" s="51" customFormat="1" ht="13.5" thickBot="1" x14ac:dyDescent="0.25">
      <c r="A12" s="837">
        <v>6</v>
      </c>
      <c r="B12" s="15" t="s">
        <v>436</v>
      </c>
      <c r="C12" s="705">
        <f t="shared" ref="C12:H12" si="1">SUM(C7:C11)</f>
        <v>644.75347322699997</v>
      </c>
      <c r="D12" s="838">
        <f t="shared" si="1"/>
        <v>673.14897065100001</v>
      </c>
      <c r="E12" s="1094">
        <f t="shared" si="1"/>
        <v>841.95144748899997</v>
      </c>
      <c r="F12" s="1094">
        <f t="shared" si="1"/>
        <v>986.96611290599992</v>
      </c>
      <c r="G12" s="1094">
        <f t="shared" si="1"/>
        <v>1004.875908085</v>
      </c>
      <c r="H12" s="1094">
        <f t="shared" si="1"/>
        <v>1116.9908505562994</v>
      </c>
      <c r="I12" s="1094">
        <f>SUM(I7:I11)</f>
        <v>1225.4440236977225</v>
      </c>
    </row>
    <row r="13" spans="1:9" x14ac:dyDescent="0.2">
      <c r="A13" s="230">
        <v>7</v>
      </c>
      <c r="B13" s="14" t="s">
        <v>33</v>
      </c>
      <c r="C13" s="704">
        <f>'[20]Notes to P&amp; L'!$E$174/10^7</f>
        <v>8.5868283999999999</v>
      </c>
      <c r="D13" s="707">
        <f>'[7]2.28 to 2.37'!$E$103</f>
        <v>10.8723294</v>
      </c>
      <c r="E13" s="1385">
        <f>'[3]2.28 to 2.37'!$E$106</f>
        <v>11.2798385</v>
      </c>
      <c r="F13" s="1385">
        <f>'[30]2.28 to 2.37'!$E$106</f>
        <v>10.309161958000001</v>
      </c>
      <c r="G13" s="1385">
        <f>'[30]2.28 to 2.37'!$C$106</f>
        <v>11.861595295000001</v>
      </c>
      <c r="H13" s="1385">
        <f>G13/$G$27*$H$27</f>
        <v>13.185004547243983</v>
      </c>
      <c r="I13" s="1385">
        <f t="shared" si="0"/>
        <v>14.465190128281227</v>
      </c>
    </row>
    <row r="14" spans="1:9" x14ac:dyDescent="0.2">
      <c r="A14" s="227">
        <v>8</v>
      </c>
      <c r="B14" s="14" t="s">
        <v>437</v>
      </c>
      <c r="C14" s="704">
        <f>'[20]Notes to P&amp; L'!$E$175/10^7</f>
        <v>0.1091522</v>
      </c>
      <c r="D14" s="707">
        <f>'[7]2.28 to 2.37'!$E$104</f>
        <v>1.8679E-3</v>
      </c>
      <c r="E14" s="1385">
        <f>'[3]2.28 to 2.37'!$E$107</f>
        <v>2.1124E-3</v>
      </c>
      <c r="F14" s="1385">
        <f>'[30]2.28 to 2.37'!$E$107</f>
        <v>1.7370400000000001E-2</v>
      </c>
      <c r="G14" s="1385">
        <f>'[30]2.28 to 2.37'!$C$107</f>
        <v>7.7245999999999999E-3</v>
      </c>
      <c r="H14" s="1385">
        <f>G14/$G$27*$H$27</f>
        <v>8.5864408279528025E-3</v>
      </c>
      <c r="I14" s="1385">
        <f t="shared" si="0"/>
        <v>9.4201332018149214E-3</v>
      </c>
    </row>
    <row r="15" spans="1:9" ht="38.25" x14ac:dyDescent="0.2">
      <c r="A15" s="227">
        <v>9</v>
      </c>
      <c r="B15" s="689" t="s">
        <v>886</v>
      </c>
      <c r="C15" s="704">
        <f>('[20]Notes to P&amp; L'!$E$176+'[20]Notes to P&amp; L'!$E$177+'[20]Notes to P&amp; L'!$E$178)/10^7</f>
        <v>48.271649750000002</v>
      </c>
      <c r="D15" s="707">
        <f>'[7]2.28 to 2.37'!$E$105</f>
        <v>10.568546920000001</v>
      </c>
      <c r="E15" s="1385">
        <f>'[3]2.28 to 2.37'!$E$108</f>
        <v>25.430920799999999</v>
      </c>
      <c r="F15" s="1385">
        <f>'[30]2.28 to 2.37'!$E$108</f>
        <v>22.18517817</v>
      </c>
      <c r="G15" s="1385">
        <f>'[30]2.28 to 2.37'!$C$108</f>
        <v>35.13975336</v>
      </c>
      <c r="H15" s="1385">
        <f>G15/$G$27*$H$27</f>
        <v>39.060328422765664</v>
      </c>
      <c r="I15" s="1385">
        <f t="shared" si="0"/>
        <v>42.852854171105747</v>
      </c>
    </row>
    <row r="16" spans="1:9" x14ac:dyDescent="0.2">
      <c r="A16" s="227"/>
      <c r="B16" s="690" t="s">
        <v>887</v>
      </c>
      <c r="C16" s="704"/>
      <c r="D16" s="707">
        <f>'[7]2.28 to 2.37'!$E$106</f>
        <v>19.924805030000002</v>
      </c>
      <c r="E16" s="1385">
        <f>'[3]2.28 to 2.37'!$E$109</f>
        <v>23.1843431</v>
      </c>
      <c r="F16" s="1385">
        <f>'[30]2.28 to 2.37'!$E$109</f>
        <v>22.278516240000002</v>
      </c>
      <c r="G16" s="1385">
        <f>'[30]2.28 to 2.37'!$C$109</f>
        <v>37.065985560000001</v>
      </c>
      <c r="H16" s="1385">
        <f>G16/$G$27*$H$27</f>
        <v>41.201472146220254</v>
      </c>
      <c r="I16" s="1385">
        <f t="shared" si="0"/>
        <v>45.201890224962902</v>
      </c>
    </row>
    <row r="17" spans="1:11" ht="25.5" x14ac:dyDescent="0.2">
      <c r="A17" s="227"/>
      <c r="B17" s="691" t="s">
        <v>888</v>
      </c>
      <c r="C17" s="704"/>
      <c r="D17" s="707">
        <f>'[7]2.28 to 2.37'!$E$107</f>
        <v>12.466508599999999</v>
      </c>
      <c r="E17" s="1385">
        <f>'[3]2.28 to 2.37'!$E$110</f>
        <v>13.211147800000001</v>
      </c>
      <c r="F17" s="1385">
        <f>'[30]2.28 to 2.37'!$C$110</f>
        <v>21.739062700000002</v>
      </c>
      <c r="G17" s="1385">
        <f>'[30]2.28 to 2.37'!$C$110</f>
        <v>21.739062700000002</v>
      </c>
      <c r="H17" s="1385">
        <f>G17/$G$27*$H$27</f>
        <v>24.164510204891631</v>
      </c>
      <c r="I17" s="1385">
        <f t="shared" si="0"/>
        <v>26.510740532403794</v>
      </c>
    </row>
    <row r="18" spans="1:11" ht="26.25" customHeight="1" x14ac:dyDescent="0.2">
      <c r="A18" s="227">
        <v>10</v>
      </c>
      <c r="B18" s="14" t="s">
        <v>438</v>
      </c>
      <c r="C18" s="704"/>
      <c r="D18" s="707"/>
      <c r="E18" s="1385"/>
      <c r="F18" s="1385"/>
      <c r="G18" s="1385"/>
      <c r="H18" s="1385"/>
      <c r="I18" s="1385">
        <f t="shared" si="0"/>
        <v>0</v>
      </c>
    </row>
    <row r="19" spans="1:11" ht="24" customHeight="1" x14ac:dyDescent="0.2">
      <c r="A19" s="227">
        <v>11</v>
      </c>
      <c r="B19" s="120" t="s">
        <v>439</v>
      </c>
      <c r="C19" s="704">
        <f>'[20]Notes to P&amp; L'!$E$182/10^7</f>
        <v>3.5698000000000001E-2</v>
      </c>
      <c r="D19" s="707">
        <f>'[7]2.28 to 2.37'!$E$112</f>
        <v>0.04</v>
      </c>
      <c r="E19" s="1385">
        <f>'[3]2.28 to 2.37'!$E$115</f>
        <v>7.2248800000000002E-2</v>
      </c>
      <c r="F19" s="1385">
        <f>'[30]2.28 to 2.37'!$E$115</f>
        <v>0.248728</v>
      </c>
      <c r="G19" s="1385">
        <f>'[30]2.28 to 2.37'!$C$115</f>
        <v>6.0995500000000001E-2</v>
      </c>
      <c r="H19" s="1385">
        <f>G19/$G$27*$H$27</f>
        <v>6.7800824835123522E-2</v>
      </c>
      <c r="I19" s="1385">
        <f t="shared" si="0"/>
        <v>7.4383881975934305E-2</v>
      </c>
    </row>
    <row r="20" spans="1:11" ht="24.75" customHeight="1" thickBot="1" x14ac:dyDescent="0.25">
      <c r="A20" s="228">
        <v>12</v>
      </c>
      <c r="B20" s="120" t="s">
        <v>540</v>
      </c>
      <c r="C20" s="704">
        <f>'[20]Notes to P&amp; L'!$E$183/10^7</f>
        <v>1.2907639</v>
      </c>
      <c r="D20" s="707">
        <f>'[7]2.28 to 2.37'!$E$95</f>
        <v>1.7532171999999999</v>
      </c>
      <c r="E20" s="1385">
        <f>'[3]2.28 to 2.37'!$E$98</f>
        <v>3.5547542999999999</v>
      </c>
      <c r="F20" s="1385">
        <f>'[30]2.28 to 2.37'!$E$98</f>
        <v>3.6565151999999999</v>
      </c>
      <c r="G20" s="1385">
        <f>'[30]2.28 to 2.37'!$C$98</f>
        <v>2.1447004000000001</v>
      </c>
      <c r="H20" s="1385">
        <f>G20/$G$27*$H$27</f>
        <v>2.3839866243283416</v>
      </c>
      <c r="I20" s="1385">
        <f t="shared" si="0"/>
        <v>2.6154575571532175</v>
      </c>
    </row>
    <row r="21" spans="1:11" s="51" customFormat="1" ht="24.75" customHeight="1" thickBot="1" x14ac:dyDescent="0.25">
      <c r="A21" s="837">
        <v>13</v>
      </c>
      <c r="B21" s="119" t="s">
        <v>541</v>
      </c>
      <c r="C21" s="705">
        <f t="shared" ref="C21:H21" si="2">SUM(C13:C20)</f>
        <v>58.294092249999999</v>
      </c>
      <c r="D21" s="838">
        <f t="shared" si="2"/>
        <v>55.627275050000001</v>
      </c>
      <c r="E21" s="1094">
        <f t="shared" si="2"/>
        <v>76.735365700000003</v>
      </c>
      <c r="F21" s="1094">
        <f t="shared" si="2"/>
        <v>80.434532668000003</v>
      </c>
      <c r="G21" s="1094">
        <f t="shared" si="2"/>
        <v>108.01981741500002</v>
      </c>
      <c r="H21" s="1094">
        <f t="shared" si="2"/>
        <v>120.07168921111294</v>
      </c>
      <c r="I21" s="1094">
        <f>SUM(I13:I20)</f>
        <v>131.72993662908462</v>
      </c>
    </row>
    <row r="22" spans="1:11" x14ac:dyDescent="0.2">
      <c r="A22" s="230">
        <v>14</v>
      </c>
      <c r="B22" s="120" t="s">
        <v>365</v>
      </c>
      <c r="C22" s="704">
        <f>'[20]Notes to P&amp; L'!$E$179/10^7</f>
        <v>7.5242150900000002</v>
      </c>
      <c r="D22" s="707">
        <f>'[7]2.28 to 2.37'!$E$108</f>
        <v>8.0420334859999993</v>
      </c>
      <c r="E22" s="1385">
        <f>'[3]2.28 to 2.37'!$E$111</f>
        <v>7.9567182009999993</v>
      </c>
      <c r="F22" s="1385">
        <f>'[30]2.28 to 2.37'!$E$111</f>
        <v>5.655786891</v>
      </c>
      <c r="G22" s="1385">
        <f>'[30]2.28 to 2.37'!$C$111</f>
        <v>6.2107353329999997</v>
      </c>
      <c r="H22" s="1385">
        <f>G22/$G$27*$H$27</f>
        <v>6.903672867835259</v>
      </c>
      <c r="I22" s="1385">
        <f t="shared" si="0"/>
        <v>7.5739784737175198</v>
      </c>
    </row>
    <row r="23" spans="1:11" ht="13.5" thickBot="1" x14ac:dyDescent="0.25">
      <c r="A23" s="228">
        <v>15</v>
      </c>
      <c r="B23" s="120" t="s">
        <v>366</v>
      </c>
      <c r="C23" s="704">
        <v>169.68</v>
      </c>
      <c r="D23" s="707">
        <f>'[7]2.28 to 2.37'!$E$100</f>
        <v>143.15244587399999</v>
      </c>
      <c r="E23" s="1385">
        <f>'[3]2.28 to 2.37'!$E$103</f>
        <v>191.79086764499999</v>
      </c>
      <c r="F23" s="1385">
        <f>'[3]2.28 to 2.37'!$C$103</f>
        <v>296.72000000000003</v>
      </c>
      <c r="G23" s="1385">
        <f>'[30]2.28 to 2.37'!$C$103</f>
        <v>399.57701934700003</v>
      </c>
      <c r="H23" s="1385">
        <f>G23/$G$27*$H$27</f>
        <v>444.15820014405506</v>
      </c>
      <c r="I23" s="1385">
        <f t="shared" si="0"/>
        <v>487.28332167787568</v>
      </c>
    </row>
    <row r="24" spans="1:11" s="51" customFormat="1" ht="13.5" thickBot="1" x14ac:dyDescent="0.25">
      <c r="A24" s="837">
        <v>16</v>
      </c>
      <c r="B24" s="119" t="s">
        <v>278</v>
      </c>
      <c r="C24" s="705">
        <f t="shared" ref="C24:H24" si="3">SUM(C22:C23)</f>
        <v>177.20421509000002</v>
      </c>
      <c r="D24" s="838">
        <f t="shared" si="3"/>
        <v>151.19447936</v>
      </c>
      <c r="E24" s="1094">
        <f t="shared" si="3"/>
        <v>199.74758584599999</v>
      </c>
      <c r="F24" s="1094">
        <f t="shared" si="3"/>
        <v>302.37578689100002</v>
      </c>
      <c r="G24" s="1094">
        <f t="shared" si="3"/>
        <v>405.78775468000003</v>
      </c>
      <c r="H24" s="1094">
        <f t="shared" si="3"/>
        <v>451.06187301189033</v>
      </c>
      <c r="I24" s="1094">
        <f>SUM(I22:I23)</f>
        <v>494.85730015159322</v>
      </c>
    </row>
    <row r="25" spans="1:11" ht="13.5" thickBot="1" x14ac:dyDescent="0.25">
      <c r="A25" s="228">
        <v>17</v>
      </c>
      <c r="B25" s="120" t="s">
        <v>623</v>
      </c>
      <c r="C25" s="705"/>
      <c r="D25" s="707"/>
      <c r="E25" s="1385"/>
      <c r="F25" s="1384"/>
      <c r="G25" s="1385">
        <f>'[31]chapter-3'!$G$70-'[30]2.28 to 2.37'!$C$117</f>
        <v>72.453772410964575</v>
      </c>
      <c r="H25" s="1385">
        <f>G25/$G$27*$H$27</f>
        <v>80.537507387917373</v>
      </c>
      <c r="I25" s="1385">
        <f t="shared" si="0"/>
        <v>88.357220708550514</v>
      </c>
    </row>
    <row r="26" spans="1:11" ht="26.25" thickBot="1" x14ac:dyDescent="0.25">
      <c r="A26" s="229">
        <v>18</v>
      </c>
      <c r="B26" s="120" t="s">
        <v>770</v>
      </c>
      <c r="C26" s="705"/>
      <c r="D26" s="707"/>
      <c r="E26" s="1385">
        <f>'[3]2.28 to 2.37'!$E$119</f>
        <v>-7.8023563999999999</v>
      </c>
      <c r="F26" s="1385">
        <f>'[30]2.28 to 2.37'!$E$119</f>
        <v>-4.9057000999999998</v>
      </c>
      <c r="G26" s="1385"/>
      <c r="H26" s="1385"/>
      <c r="I26" s="1385"/>
    </row>
    <row r="27" spans="1:11" ht="13.5" thickBot="1" x14ac:dyDescent="0.25">
      <c r="A27" s="229"/>
      <c r="B27" s="119" t="s">
        <v>431</v>
      </c>
      <c r="C27" s="198">
        <f>C12+C21+C24+C25+C26</f>
        <v>880.25178056699997</v>
      </c>
      <c r="D27" s="707">
        <f>D12+D21+D24+D25+D26</f>
        <v>879.97072506099994</v>
      </c>
      <c r="E27" s="1385">
        <f>E12+E21+E24+E25+E26</f>
        <v>1110.6320426349998</v>
      </c>
      <c r="F27" s="1385">
        <f>F12+F21+F24+F25+F26</f>
        <v>1364.8707323649999</v>
      </c>
      <c r="G27" s="1385">
        <f>G12+G21+G24+G25+G26</f>
        <v>1591.1372525909646</v>
      </c>
      <c r="H27" s="1385">
        <f>'[31]chapter-4'!$C$4</f>
        <v>1768.6619201672202</v>
      </c>
      <c r="I27" s="1385">
        <f>'[31]chapter-4'!$D$4</f>
        <v>1940.3884811869509</v>
      </c>
    </row>
    <row r="28" spans="1:11" x14ac:dyDescent="0.2">
      <c r="A28" s="69"/>
      <c r="D28" s="706"/>
      <c r="F28" s="1386"/>
    </row>
    <row r="29" spans="1:11" x14ac:dyDescent="0.2">
      <c r="E29" s="1386"/>
      <c r="F29" s="1386"/>
      <c r="G29" s="1386"/>
      <c r="H29" s="1386"/>
      <c r="K29" s="443">
        <f>D27-'[7]2.28 to 2.37'!$E$114</f>
        <v>0</v>
      </c>
    </row>
    <row r="31" spans="1:11" x14ac:dyDescent="0.2">
      <c r="C31" s="443"/>
    </row>
  </sheetData>
  <phoneticPr fontId="0" type="noConversion"/>
  <printOptions horizontalCentered="1" gridLines="1"/>
  <pageMargins left="0.74803149606299202" right="0.74803149606299202" top="1.234251969" bottom="0.98425196850393704" header="0.511811023622047" footer="0.511811023622047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0000"/>
    <pageSetUpPr fitToPage="1"/>
  </sheetPr>
  <dimension ref="A1:R27"/>
  <sheetViews>
    <sheetView showGridLines="0" topLeftCell="B1" zoomScale="90" zoomScaleNormal="75" workbookViewId="0">
      <selection activeCell="B3" sqref="A3:R19"/>
    </sheetView>
  </sheetViews>
  <sheetFormatPr defaultRowHeight="12.75" x14ac:dyDescent="0.2"/>
  <cols>
    <col min="1" max="1" width="14.140625" style="19" customWidth="1"/>
    <col min="2" max="2" width="50.42578125" style="19" customWidth="1"/>
    <col min="3" max="3" width="12.42578125" style="19" hidden="1" customWidth="1"/>
    <col min="4" max="4" width="10.7109375" style="19" hidden="1" customWidth="1"/>
    <col min="5" max="5" width="11.85546875" style="19" hidden="1" customWidth="1"/>
    <col min="6" max="6" width="13.28515625" style="19" hidden="1" customWidth="1"/>
    <col min="7" max="9" width="0" style="1383" hidden="1" customWidth="1"/>
    <col min="10" max="18" width="9.140625" style="1383"/>
    <col min="19" max="16384" width="9.140625" style="19"/>
  </cols>
  <sheetData>
    <row r="1" spans="1:18" ht="15" x14ac:dyDescent="0.25">
      <c r="A1" s="698" t="s">
        <v>499</v>
      </c>
      <c r="B1" s="699"/>
      <c r="C1" s="699"/>
      <c r="D1" s="700"/>
      <c r="E1" s="700"/>
      <c r="F1" s="700"/>
      <c r="G1" s="1387"/>
      <c r="H1" s="1387"/>
      <c r="I1" s="1387"/>
      <c r="J1" s="1387"/>
      <c r="K1" s="1387"/>
      <c r="L1" s="1387"/>
      <c r="M1" s="1387"/>
      <c r="N1" s="1387"/>
      <c r="O1" s="1387"/>
    </row>
    <row r="2" spans="1:18" ht="15.75" thickBot="1" x14ac:dyDescent="0.3">
      <c r="A2" s="698"/>
      <c r="B2" s="699"/>
      <c r="C2" s="699"/>
      <c r="D2" s="700"/>
      <c r="E2" s="700"/>
      <c r="F2" s="700"/>
      <c r="G2" s="1387"/>
      <c r="H2" s="1387"/>
      <c r="I2" s="1387"/>
      <c r="J2" s="1387"/>
      <c r="K2" s="1387"/>
      <c r="L2" s="1387"/>
      <c r="M2" s="1387"/>
      <c r="N2" s="1387"/>
      <c r="O2" s="1387"/>
    </row>
    <row r="3" spans="1:18" ht="15.75" thickBot="1" x14ac:dyDescent="0.3">
      <c r="A3" s="698"/>
      <c r="B3" s="701" t="s">
        <v>509</v>
      </c>
      <c r="C3" s="878"/>
      <c r="D3" s="700"/>
      <c r="E3" s="700"/>
      <c r="F3" s="700"/>
      <c r="G3" s="1387"/>
      <c r="H3" s="1387"/>
      <c r="I3" s="1387"/>
      <c r="J3" s="1387"/>
      <c r="K3" s="1387"/>
      <c r="L3" s="1387"/>
      <c r="M3" s="1387"/>
      <c r="N3" s="1387"/>
      <c r="O3" s="1387"/>
      <c r="R3" s="1772" t="s">
        <v>1344</v>
      </c>
    </row>
    <row r="4" spans="1:18" ht="15" x14ac:dyDescent="0.25">
      <c r="A4" s="698"/>
      <c r="B4" s="699"/>
      <c r="C4" s="699"/>
      <c r="D4" s="700"/>
      <c r="E4" s="700"/>
      <c r="F4" s="700"/>
      <c r="G4" s="1387"/>
      <c r="H4" s="1387"/>
      <c r="I4" s="1387"/>
      <c r="J4" s="1387"/>
      <c r="K4" s="1387"/>
      <c r="L4" s="1387"/>
      <c r="M4" s="1387"/>
      <c r="N4" s="1387"/>
      <c r="O4" s="1387"/>
    </row>
    <row r="5" spans="1:18" ht="15" x14ac:dyDescent="0.25">
      <c r="A5" s="1887" t="s">
        <v>89</v>
      </c>
      <c r="B5" s="1888"/>
      <c r="C5" s="859"/>
      <c r="D5" s="700"/>
      <c r="E5" s="700"/>
      <c r="F5" s="700"/>
      <c r="G5" s="1387"/>
      <c r="H5" s="1387"/>
      <c r="I5" s="1387"/>
      <c r="J5" s="1387"/>
      <c r="K5" s="1387"/>
      <c r="L5" s="1387"/>
      <c r="M5" s="1387"/>
      <c r="N5" s="1387"/>
      <c r="O5" s="1387"/>
    </row>
    <row r="6" spans="1:18" ht="15" thickBot="1" x14ac:dyDescent="0.25">
      <c r="A6" s="699"/>
      <c r="B6" s="699"/>
      <c r="C6" s="699"/>
      <c r="D6" s="700"/>
      <c r="E6" s="700"/>
      <c r="F6" s="700"/>
      <c r="G6" s="1387"/>
      <c r="H6" s="1387"/>
      <c r="I6" s="1387"/>
      <c r="J6" s="1387"/>
      <c r="K6" s="1387"/>
      <c r="L6" s="1387"/>
      <c r="M6" s="1387"/>
      <c r="N6" s="1387"/>
      <c r="O6" s="1387"/>
    </row>
    <row r="7" spans="1:18" ht="48" customHeight="1" x14ac:dyDescent="0.2">
      <c r="A7" s="1892" t="s">
        <v>67</v>
      </c>
      <c r="B7" s="1889" t="s">
        <v>90</v>
      </c>
      <c r="C7" s="879" t="s">
        <v>763</v>
      </c>
      <c r="D7" s="1896" t="s">
        <v>764</v>
      </c>
      <c r="E7" s="1897"/>
      <c r="F7" s="1897"/>
      <c r="G7" s="1898" t="s">
        <v>765</v>
      </c>
      <c r="H7" s="1898"/>
      <c r="I7" s="1898"/>
      <c r="J7" s="1898" t="s">
        <v>875</v>
      </c>
      <c r="K7" s="1898"/>
      <c r="L7" s="1898"/>
      <c r="M7" s="1898" t="s">
        <v>876</v>
      </c>
      <c r="N7" s="1898"/>
      <c r="O7" s="1898"/>
      <c r="P7" s="1898" t="s">
        <v>877</v>
      </c>
      <c r="Q7" s="1898"/>
      <c r="R7" s="1898"/>
    </row>
    <row r="8" spans="1:18" ht="35.25" customHeight="1" x14ac:dyDescent="0.2">
      <c r="A8" s="1893"/>
      <c r="B8" s="1890"/>
      <c r="D8" s="1885" t="s">
        <v>542</v>
      </c>
      <c r="E8" s="1886"/>
      <c r="F8" s="860" t="s">
        <v>543</v>
      </c>
      <c r="G8" s="1895" t="s">
        <v>542</v>
      </c>
      <c r="H8" s="1895"/>
      <c r="I8" s="1395" t="s">
        <v>543</v>
      </c>
      <c r="J8" s="1895" t="s">
        <v>542</v>
      </c>
      <c r="K8" s="1895"/>
      <c r="L8" s="1395" t="s">
        <v>543</v>
      </c>
      <c r="M8" s="1895" t="s">
        <v>542</v>
      </c>
      <c r="N8" s="1895"/>
      <c r="O8" s="1395" t="s">
        <v>543</v>
      </c>
      <c r="P8" s="1895" t="s">
        <v>542</v>
      </c>
      <c r="Q8" s="1895"/>
      <c r="R8" s="1395" t="s">
        <v>543</v>
      </c>
    </row>
    <row r="9" spans="1:18" ht="66.75" customHeight="1" thickBot="1" x14ac:dyDescent="0.25">
      <c r="A9" s="1894"/>
      <c r="B9" s="1891"/>
      <c r="C9" s="860" t="s">
        <v>543</v>
      </c>
      <c r="D9" s="880" t="s">
        <v>786</v>
      </c>
      <c r="E9" s="881" t="s">
        <v>308</v>
      </c>
      <c r="F9" s="860" t="s">
        <v>309</v>
      </c>
      <c r="G9" s="1388" t="s">
        <v>786</v>
      </c>
      <c r="H9" s="1388" t="s">
        <v>308</v>
      </c>
      <c r="I9" s="1389" t="s">
        <v>309</v>
      </c>
      <c r="J9" s="1388" t="s">
        <v>786</v>
      </c>
      <c r="K9" s="1388" t="s">
        <v>308</v>
      </c>
      <c r="L9" s="1389" t="s">
        <v>309</v>
      </c>
      <c r="M9" s="1388" t="s">
        <v>786</v>
      </c>
      <c r="N9" s="1388" t="s">
        <v>308</v>
      </c>
      <c r="O9" s="1389" t="s">
        <v>309</v>
      </c>
      <c r="P9" s="1388" t="s">
        <v>786</v>
      </c>
      <c r="Q9" s="1388" t="s">
        <v>308</v>
      </c>
      <c r="R9" s="1389" t="s">
        <v>309</v>
      </c>
    </row>
    <row r="10" spans="1:18" ht="24.95" customHeight="1" x14ac:dyDescent="0.2">
      <c r="A10" s="882">
        <v>1</v>
      </c>
      <c r="B10" s="883" t="s">
        <v>310</v>
      </c>
      <c r="C10" s="14">
        <v>0.67</v>
      </c>
      <c r="D10" s="884">
        <v>3</v>
      </c>
      <c r="E10" s="885">
        <v>3</v>
      </c>
      <c r="F10" s="886">
        <f t="shared" ref="F10:F18" si="0">C10/$C$19*$F$19</f>
        <v>0.85342111014123823</v>
      </c>
      <c r="G10" s="1390">
        <v>3</v>
      </c>
      <c r="H10" s="1390">
        <v>3</v>
      </c>
      <c r="I10" s="1391">
        <f t="shared" ref="I10:I18" si="1">F10/$F$19*$I$19</f>
        <v>1.0487807400646265</v>
      </c>
      <c r="J10" s="1390">
        <v>3</v>
      </c>
      <c r="K10" s="1390">
        <v>3</v>
      </c>
      <c r="L10" s="1391">
        <f t="shared" ref="L10:L18" si="2">I10/$I$19*$L$19</f>
        <v>1.2226462665993214</v>
      </c>
      <c r="M10" s="1390">
        <v>3</v>
      </c>
      <c r="N10" s="1390">
        <v>3</v>
      </c>
      <c r="O10" s="1391">
        <f t="shared" ref="O10:O18" si="3">L10/$L$19*$O$19</f>
        <v>1.3590580511188255</v>
      </c>
      <c r="P10" s="1390">
        <v>3</v>
      </c>
      <c r="Q10" s="1390">
        <v>3</v>
      </c>
      <c r="R10" s="1391">
        <f>O10/$O$19*$R$19</f>
        <v>1.4910145107924455</v>
      </c>
    </row>
    <row r="11" spans="1:18" ht="24.95" customHeight="1" x14ac:dyDescent="0.2">
      <c r="A11" s="887">
        <v>2</v>
      </c>
      <c r="B11" s="888" t="s">
        <v>311</v>
      </c>
      <c r="C11" s="14">
        <v>1.28</v>
      </c>
      <c r="D11" s="884">
        <v>9</v>
      </c>
      <c r="E11" s="885">
        <v>5</v>
      </c>
      <c r="F11" s="886">
        <f t="shared" si="0"/>
        <v>1.6304164492250521</v>
      </c>
      <c r="G11" s="1392">
        <v>9</v>
      </c>
      <c r="H11" s="1392">
        <v>6</v>
      </c>
      <c r="I11" s="1391">
        <f t="shared" si="1"/>
        <v>2.0036408168398836</v>
      </c>
      <c r="J11" s="1392">
        <f>7+2+1</f>
        <v>10</v>
      </c>
      <c r="K11" s="1392">
        <v>7</v>
      </c>
      <c r="L11" s="1391">
        <f t="shared" si="2"/>
        <v>2.3358018227569124</v>
      </c>
      <c r="M11" s="1392">
        <v>10</v>
      </c>
      <c r="N11" s="1392">
        <v>7</v>
      </c>
      <c r="O11" s="1391">
        <f t="shared" si="3"/>
        <v>2.5964094110926812</v>
      </c>
      <c r="P11" s="1392">
        <v>10</v>
      </c>
      <c r="Q11" s="1392">
        <v>7</v>
      </c>
      <c r="R11" s="1391">
        <f t="shared" ref="R11:R18" si="4">O11/$O$19*$R$19</f>
        <v>2.8485053340512394</v>
      </c>
    </row>
    <row r="12" spans="1:18" ht="24.95" customHeight="1" x14ac:dyDescent="0.2">
      <c r="A12" s="887">
        <v>3</v>
      </c>
      <c r="B12" s="888" t="s">
        <v>462</v>
      </c>
      <c r="C12" s="14">
        <v>4.46</v>
      </c>
      <c r="D12" s="884">
        <v>29</v>
      </c>
      <c r="E12" s="885">
        <v>19</v>
      </c>
      <c r="F12" s="886">
        <f t="shared" si="0"/>
        <v>5.6809823152685412</v>
      </c>
      <c r="G12" s="1392">
        <v>32</v>
      </c>
      <c r="H12" s="1392">
        <v>29</v>
      </c>
      <c r="I12" s="1391">
        <f t="shared" si="1"/>
        <v>6.9814359711764693</v>
      </c>
      <c r="J12" s="1392">
        <f>20+1+1+8+1</f>
        <v>31</v>
      </c>
      <c r="K12" s="1392">
        <v>27</v>
      </c>
      <c r="L12" s="1391">
        <f t="shared" si="2"/>
        <v>8.1388094761686158</v>
      </c>
      <c r="M12" s="1392">
        <v>31</v>
      </c>
      <c r="N12" s="1392">
        <v>27</v>
      </c>
      <c r="O12" s="1391">
        <f t="shared" si="3"/>
        <v>9.0468640417760611</v>
      </c>
      <c r="P12" s="1392">
        <v>31</v>
      </c>
      <c r="Q12" s="1392">
        <v>27</v>
      </c>
      <c r="R12" s="1391">
        <f t="shared" si="4"/>
        <v>9.9252607733347862</v>
      </c>
    </row>
    <row r="13" spans="1:18" ht="24.95" customHeight="1" x14ac:dyDescent="0.2">
      <c r="A13" s="887">
        <v>4</v>
      </c>
      <c r="B13" s="888" t="s">
        <v>463</v>
      </c>
      <c r="C13" s="14">
        <v>18.47</v>
      </c>
      <c r="D13" s="884">
        <v>98</v>
      </c>
      <c r="E13" s="885">
        <v>91</v>
      </c>
      <c r="F13" s="886">
        <f t="shared" si="0"/>
        <v>23.526399857177118</v>
      </c>
      <c r="G13" s="1392">
        <v>106</v>
      </c>
      <c r="H13" s="1392">
        <v>101</v>
      </c>
      <c r="I13" s="1391">
        <f t="shared" si="1"/>
        <v>28.911910849244254</v>
      </c>
      <c r="J13" s="1392">
        <f>75+2+5+21</f>
        <v>103</v>
      </c>
      <c r="K13" s="1392">
        <v>101</v>
      </c>
      <c r="L13" s="1391">
        <f t="shared" si="2"/>
        <v>33.704890364312632</v>
      </c>
      <c r="M13" s="1392">
        <v>103</v>
      </c>
      <c r="N13" s="1392">
        <v>101</v>
      </c>
      <c r="O13" s="1391">
        <f t="shared" si="3"/>
        <v>37.465376424126426</v>
      </c>
      <c r="P13" s="1392">
        <v>103</v>
      </c>
      <c r="Q13" s="1392">
        <v>101</v>
      </c>
      <c r="R13" s="1391">
        <f t="shared" si="4"/>
        <v>41.103041812442484</v>
      </c>
    </row>
    <row r="14" spans="1:18" ht="24.95" customHeight="1" x14ac:dyDescent="0.2">
      <c r="A14" s="887">
        <v>5</v>
      </c>
      <c r="B14" s="888" t="s">
        <v>464</v>
      </c>
      <c r="C14" s="14">
        <v>55.4</v>
      </c>
      <c r="D14" s="884">
        <v>474</v>
      </c>
      <c r="E14" s="885">
        <v>429</v>
      </c>
      <c r="F14" s="886">
        <f t="shared" si="0"/>
        <v>70.566461943021793</v>
      </c>
      <c r="G14" s="1392">
        <v>506</v>
      </c>
      <c r="H14" s="1392">
        <v>448</v>
      </c>
      <c r="I14" s="1391">
        <f t="shared" si="1"/>
        <v>86.720079103851219</v>
      </c>
      <c r="J14" s="1392">
        <f>359+18+1+12+109+3+7</f>
        <v>509</v>
      </c>
      <c r="K14" s="1392">
        <v>454</v>
      </c>
      <c r="L14" s="1391">
        <f t="shared" si="2"/>
        <v>101.09642264119762</v>
      </c>
      <c r="M14" s="1392">
        <v>509</v>
      </c>
      <c r="N14" s="1392">
        <v>454</v>
      </c>
      <c r="O14" s="1391">
        <f t="shared" si="3"/>
        <v>112.37584482385512</v>
      </c>
      <c r="P14" s="1392">
        <v>509</v>
      </c>
      <c r="Q14" s="1392">
        <v>454</v>
      </c>
      <c r="R14" s="1391">
        <f t="shared" si="4"/>
        <v>123.2868714894052</v>
      </c>
    </row>
    <row r="15" spans="1:18" ht="24.95" customHeight="1" x14ac:dyDescent="0.2">
      <c r="A15" s="887">
        <v>6</v>
      </c>
      <c r="B15" s="888" t="s">
        <v>367</v>
      </c>
      <c r="C15" s="14">
        <v>46.94</v>
      </c>
      <c r="D15" s="884">
        <v>1006</v>
      </c>
      <c r="E15" s="885">
        <v>534</v>
      </c>
      <c r="F15" s="886">
        <f t="shared" si="0"/>
        <v>59.790428223924955</v>
      </c>
      <c r="G15" s="1392">
        <v>1090</v>
      </c>
      <c r="H15" s="1392">
        <v>754</v>
      </c>
      <c r="I15" s="1391">
        <f t="shared" si="1"/>
        <v>73.477265580050101</v>
      </c>
      <c r="J15" s="1392">
        <f>1090</f>
        <v>1090</v>
      </c>
      <c r="K15" s="1392">
        <v>794</v>
      </c>
      <c r="L15" s="1391">
        <f t="shared" si="2"/>
        <v>85.658232468913639</v>
      </c>
      <c r="M15" s="1392">
        <v>1090</v>
      </c>
      <c r="N15" s="1392">
        <v>794</v>
      </c>
      <c r="O15" s="1391">
        <f t="shared" si="3"/>
        <v>95.215201372414413</v>
      </c>
      <c r="P15" s="1392">
        <v>1090</v>
      </c>
      <c r="Q15" s="1392">
        <v>794</v>
      </c>
      <c r="R15" s="1391">
        <f t="shared" si="4"/>
        <v>104.46003154716028</v>
      </c>
    </row>
    <row r="16" spans="1:18" ht="24.95" customHeight="1" x14ac:dyDescent="0.2">
      <c r="A16" s="887">
        <v>7</v>
      </c>
      <c r="B16" s="888" t="s">
        <v>368</v>
      </c>
      <c r="C16" s="14">
        <v>596.26</v>
      </c>
      <c r="D16" s="884">
        <v>21577</v>
      </c>
      <c r="E16" s="885">
        <v>14422</v>
      </c>
      <c r="F16" s="886">
        <f t="shared" si="0"/>
        <v>759.49383751166374</v>
      </c>
      <c r="G16" s="1392">
        <v>22919</v>
      </c>
      <c r="H16" s="1392">
        <v>14006</v>
      </c>
      <c r="I16" s="1391">
        <f t="shared" si="1"/>
        <v>933.3522448819914</v>
      </c>
      <c r="J16" s="1392">
        <f>9752+13141</f>
        <v>22893</v>
      </c>
      <c r="K16" s="1392">
        <f>6270+7705</f>
        <v>13975</v>
      </c>
      <c r="L16" s="1391">
        <f t="shared" si="2"/>
        <v>1088.0821834664348</v>
      </c>
      <c r="M16" s="1392">
        <v>22893</v>
      </c>
      <c r="N16" s="1392">
        <v>13975</v>
      </c>
      <c r="O16" s="1391">
        <f t="shared" si="3"/>
        <v>1209.4805277016578</v>
      </c>
      <c r="P16" s="1392">
        <v>22893</v>
      </c>
      <c r="Q16" s="1392">
        <v>13975</v>
      </c>
      <c r="R16" s="1391">
        <f t="shared" si="4"/>
        <v>1326.9138988135871</v>
      </c>
    </row>
    <row r="17" spans="1:18" ht="24.95" customHeight="1" x14ac:dyDescent="0.2">
      <c r="A17" s="887">
        <v>8</v>
      </c>
      <c r="B17" s="888" t="s">
        <v>366</v>
      </c>
      <c r="C17" s="14">
        <v>143</v>
      </c>
      <c r="D17" s="889"/>
      <c r="E17" s="890"/>
      <c r="F17" s="886">
        <f t="shared" si="0"/>
        <v>182.14808768686129</v>
      </c>
      <c r="G17" s="1392"/>
      <c r="H17" s="1392"/>
      <c r="I17" s="1391">
        <f t="shared" si="1"/>
        <v>223.84424750633073</v>
      </c>
      <c r="J17" s="1392"/>
      <c r="K17" s="1392"/>
      <c r="L17" s="1391">
        <f t="shared" si="2"/>
        <v>260.9528598861238</v>
      </c>
      <c r="M17" s="1392"/>
      <c r="N17" s="1392"/>
      <c r="O17" s="1391">
        <f t="shared" si="3"/>
        <v>290.06761389551048</v>
      </c>
      <c r="P17" s="1392"/>
      <c r="Q17" s="1392"/>
      <c r="R17" s="1391">
        <f t="shared" si="4"/>
        <v>318.23145528853684</v>
      </c>
    </row>
    <row r="18" spans="1:18" ht="24.95" customHeight="1" thickBot="1" x14ac:dyDescent="0.25">
      <c r="A18" s="891">
        <v>9</v>
      </c>
      <c r="B18" s="182" t="s">
        <v>788</v>
      </c>
      <c r="C18" s="14">
        <v>5.45</v>
      </c>
      <c r="D18" s="889">
        <v>117</v>
      </c>
      <c r="E18" s="890">
        <v>90</v>
      </c>
      <c r="F18" s="886">
        <f t="shared" si="0"/>
        <v>6.9420075377160426</v>
      </c>
      <c r="G18" s="1392">
        <v>117</v>
      </c>
      <c r="H18" s="1392">
        <v>87</v>
      </c>
      <c r="I18" s="1391">
        <f t="shared" si="1"/>
        <v>8.5311269154510683</v>
      </c>
      <c r="J18" s="1392">
        <f>117</f>
        <v>117</v>
      </c>
      <c r="K18" s="1392">
        <v>79</v>
      </c>
      <c r="L18" s="1391">
        <f t="shared" si="2"/>
        <v>9.9454061984571673</v>
      </c>
      <c r="M18" s="1392">
        <v>117</v>
      </c>
      <c r="N18" s="1392">
        <v>79</v>
      </c>
      <c r="O18" s="1391">
        <f t="shared" si="3"/>
        <v>11.055024445668058</v>
      </c>
      <c r="P18" s="1392">
        <v>117</v>
      </c>
      <c r="Q18" s="1392">
        <v>79</v>
      </c>
      <c r="R18" s="1391">
        <f t="shared" si="4"/>
        <v>12.128401617640042</v>
      </c>
    </row>
    <row r="19" spans="1:18" ht="24.95" customHeight="1" thickBot="1" x14ac:dyDescent="0.25">
      <c r="A19" s="892"/>
      <c r="B19" s="893" t="s">
        <v>119</v>
      </c>
      <c r="C19" s="15">
        <f>SUM(C10:C18)</f>
        <v>871.93000000000006</v>
      </c>
      <c r="D19" s="894">
        <f>SUM(D10:D18)</f>
        <v>23313</v>
      </c>
      <c r="E19" s="895">
        <f>SUM(E10:E18)</f>
        <v>15593</v>
      </c>
      <c r="F19" s="895">
        <f>'D-6'!E27</f>
        <v>1110.6320426349998</v>
      </c>
      <c r="G19" s="1393">
        <f>SUM(G10:G18)</f>
        <v>24782</v>
      </c>
      <c r="H19" s="1393">
        <f>SUM(H10:H18)</f>
        <v>15434</v>
      </c>
      <c r="I19" s="1393">
        <f>'D-6'!F27</f>
        <v>1364.8707323649999</v>
      </c>
      <c r="J19" s="1393">
        <f>SUM(J10:J18)</f>
        <v>24756</v>
      </c>
      <c r="K19" s="1393">
        <f>SUM(K10:K18)</f>
        <v>15440</v>
      </c>
      <c r="L19" s="1393">
        <f>'D-6'!G27</f>
        <v>1591.1372525909646</v>
      </c>
      <c r="M19" s="1393">
        <f>SUM(M10:M18)</f>
        <v>24756</v>
      </c>
      <c r="N19" s="1393">
        <f>SUM(N10:N18)</f>
        <v>15440</v>
      </c>
      <c r="O19" s="1393">
        <f>'D-6'!H27</f>
        <v>1768.6619201672202</v>
      </c>
      <c r="P19" s="1393">
        <f>SUM(P10:P18)</f>
        <v>24756</v>
      </c>
      <c r="Q19" s="1393">
        <f>SUM(Q10:Q18)</f>
        <v>15440</v>
      </c>
      <c r="R19" s="1393">
        <f>'D-6'!I27</f>
        <v>1940.3884811869509</v>
      </c>
    </row>
    <row r="20" spans="1:18" ht="14.25" x14ac:dyDescent="0.2">
      <c r="A20" s="699"/>
      <c r="B20" s="699"/>
      <c r="C20" s="702"/>
      <c r="D20" s="700"/>
      <c r="E20" s="700"/>
      <c r="F20" s="700"/>
      <c r="G20" s="1387"/>
      <c r="H20" s="1387"/>
      <c r="I20" s="1387"/>
      <c r="J20" s="1394">
        <f>J19-G19</f>
        <v>-26</v>
      </c>
      <c r="K20" s="1387"/>
      <c r="L20" s="1387"/>
      <c r="M20" s="1394"/>
      <c r="N20" s="1387"/>
      <c r="O20" s="1387"/>
    </row>
    <row r="21" spans="1:18" ht="14.25" hidden="1" x14ac:dyDescent="0.2">
      <c r="A21" s="700"/>
      <c r="B21" s="703" t="s">
        <v>230</v>
      </c>
      <c r="C21" s="703"/>
      <c r="D21" s="700"/>
      <c r="E21" s="700"/>
      <c r="F21" s="700"/>
      <c r="G21" s="1387"/>
      <c r="H21" s="1387"/>
      <c r="I21" s="1387"/>
      <c r="J21" s="1387"/>
      <c r="K21" s="1387"/>
      <c r="L21" s="1387"/>
      <c r="M21" s="1387"/>
      <c r="N21" s="1387"/>
      <c r="O21" s="1387"/>
    </row>
    <row r="22" spans="1:18" ht="14.25" hidden="1" x14ac:dyDescent="0.2">
      <c r="A22" s="700"/>
      <c r="B22" s="703" t="s">
        <v>231</v>
      </c>
      <c r="C22" s="703"/>
      <c r="D22" s="700"/>
      <c r="E22" s="700"/>
      <c r="F22" s="700"/>
      <c r="G22" s="1387"/>
      <c r="H22" s="1387"/>
      <c r="I22" s="1387"/>
      <c r="J22" s="1387"/>
      <c r="K22" s="1387"/>
      <c r="L22" s="1387"/>
      <c r="M22" s="1387"/>
      <c r="N22" s="1387"/>
      <c r="O22" s="1387"/>
    </row>
    <row r="23" spans="1:18" ht="14.25" hidden="1" x14ac:dyDescent="0.2">
      <c r="A23" s="700"/>
      <c r="B23" s="700"/>
      <c r="C23" s="700"/>
      <c r="D23" s="700"/>
      <c r="E23" s="700"/>
      <c r="F23" s="700"/>
      <c r="G23" s="1387"/>
      <c r="H23" s="1387"/>
      <c r="I23" s="1387"/>
      <c r="J23" s="1387"/>
      <c r="K23" s="1387"/>
      <c r="L23" s="1387"/>
      <c r="M23" s="1387"/>
      <c r="N23" s="1387"/>
      <c r="O23" s="1387"/>
    </row>
    <row r="24" spans="1:18" ht="14.25" hidden="1" x14ac:dyDescent="0.2">
      <c r="A24" s="699" t="s">
        <v>369</v>
      </c>
      <c r="B24" s="699"/>
      <c r="C24" s="699"/>
      <c r="D24" s="700"/>
      <c r="E24" s="700"/>
      <c r="F24" s="700"/>
      <c r="G24" s="1387"/>
      <c r="H24" s="1387"/>
      <c r="I24" s="1387"/>
      <c r="J24" s="1387"/>
      <c r="K24" s="1387"/>
      <c r="L24" s="1387"/>
      <c r="M24" s="1387"/>
      <c r="N24" s="1387"/>
      <c r="O24" s="1387"/>
    </row>
    <row r="25" spans="1:18" ht="14.25" hidden="1" x14ac:dyDescent="0.2">
      <c r="A25" s="699" t="s">
        <v>370</v>
      </c>
      <c r="B25" s="699"/>
      <c r="C25" s="699"/>
      <c r="D25" s="700"/>
      <c r="E25" s="700"/>
      <c r="F25" s="700"/>
      <c r="G25" s="1387"/>
      <c r="H25" s="1387"/>
      <c r="I25" s="1387"/>
      <c r="J25" s="1387"/>
      <c r="K25" s="1387"/>
      <c r="L25" s="1387"/>
      <c r="M25" s="1387"/>
      <c r="N25" s="1387"/>
      <c r="O25" s="1387"/>
    </row>
    <row r="26" spans="1:18" ht="14.25" hidden="1" x14ac:dyDescent="0.2">
      <c r="A26" s="699" t="s">
        <v>891</v>
      </c>
      <c r="B26" s="699"/>
      <c r="C26" s="699"/>
      <c r="D26" s="700"/>
      <c r="E26" s="700"/>
      <c r="F26" s="700"/>
      <c r="G26" s="1387"/>
      <c r="H26" s="1387"/>
      <c r="I26" s="1387"/>
      <c r="J26" s="1387"/>
      <c r="K26" s="1387"/>
      <c r="L26" s="1387"/>
      <c r="M26" s="1387"/>
      <c r="N26" s="1387"/>
      <c r="O26" s="1387"/>
    </row>
    <row r="27" spans="1:18" ht="14.25" x14ac:dyDescent="0.2">
      <c r="A27" s="699"/>
      <c r="B27" s="699"/>
      <c r="C27" s="699"/>
      <c r="D27" s="700"/>
      <c r="E27" s="700"/>
      <c r="F27" s="700"/>
      <c r="G27" s="1387"/>
      <c r="H27" s="1387"/>
      <c r="I27" s="1387"/>
      <c r="J27" s="1387"/>
      <c r="K27" s="1387"/>
      <c r="L27" s="1387"/>
      <c r="M27" s="1394"/>
      <c r="N27" s="1387"/>
      <c r="O27" s="1387"/>
    </row>
  </sheetData>
  <customSheetViews>
    <customSheetView guid="{80837D84-6D11-4A5F-87D7-272A542EF21A}" scale="90" showGridLines="0" hiddenColumns="1" showRuler="0" topLeftCell="A9">
      <selection activeCell="O26" sqref="O26"/>
      <pageMargins left="0.75" right="0.75" top="1" bottom="1" header="0.5" footer="0.5"/>
      <printOptions horizontalCentered="1" gridLines="1"/>
      <pageSetup paperSize="9" scale="75" orientation="landscape" horizontalDpi="180" verticalDpi="180" r:id="rId1"/>
      <headerFooter alignWithMargins="0"/>
    </customSheetView>
    <customSheetView guid="{5FF41722-DC20-49D9-9ED5-FEC8C9404ECB}" scale="90" showPageBreaks="1" showGridLines="0" printArea="1" hiddenColumns="1" showRuler="0" topLeftCell="A9">
      <selection activeCell="O26" sqref="O26"/>
      <pageMargins left="0.75" right="0.75" top="1" bottom="1" header="0.5" footer="0.5"/>
      <printOptions horizontalCentered="1" gridLines="1"/>
      <pageSetup paperSize="9" scale="75" orientation="landscape" horizontalDpi="180" verticalDpi="180" r:id="rId2"/>
      <headerFooter alignWithMargins="0"/>
    </customSheetView>
    <customSheetView guid="{23A957A0-E704-4A72-A26E-A4FA7FC4849F}" scale="90" showPageBreaks="1" showGridLines="0" printArea="1" hiddenColumns="1" showRuler="0" topLeftCell="A9">
      <selection activeCell="O26" sqref="O26"/>
      <pageMargins left="0.75" right="0.75" top="1" bottom="1" header="0.5" footer="0.5"/>
      <printOptions horizontalCentered="1" gridLines="1"/>
      <pageSetup paperSize="9" scale="75" orientation="landscape" horizontalDpi="180" verticalDpi="180" r:id="rId3"/>
      <headerFooter alignWithMargins="0"/>
    </customSheetView>
  </customSheetViews>
  <mergeCells count="13">
    <mergeCell ref="J8:K8"/>
    <mergeCell ref="P7:R7"/>
    <mergeCell ref="P8:Q8"/>
    <mergeCell ref="M8:N8"/>
    <mergeCell ref="G7:I7"/>
    <mergeCell ref="J7:L7"/>
    <mergeCell ref="M7:O7"/>
    <mergeCell ref="D8:E8"/>
    <mergeCell ref="A5:B5"/>
    <mergeCell ref="B7:B9"/>
    <mergeCell ref="A7:A9"/>
    <mergeCell ref="G8:H8"/>
    <mergeCell ref="D7:F7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scale="92" orientation="landscape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  <pageSetUpPr fitToPage="1"/>
  </sheetPr>
  <dimension ref="A2:H60"/>
  <sheetViews>
    <sheetView showGridLines="0" topLeftCell="A13" zoomScale="91" zoomScaleNormal="91" workbookViewId="0">
      <selection activeCell="A2" sqref="A2:H35"/>
    </sheetView>
  </sheetViews>
  <sheetFormatPr defaultRowHeight="12.75" x14ac:dyDescent="0.2"/>
  <cols>
    <col min="1" max="1" width="5" style="56" customWidth="1"/>
    <col min="2" max="2" width="36.28515625" style="56" customWidth="1"/>
    <col min="3" max="3" width="10.85546875" style="56" hidden="1" customWidth="1"/>
    <col min="4" max="4" width="12" style="1396" hidden="1" customWidth="1"/>
    <col min="5" max="5" width="11.7109375" style="1396" hidden="1" customWidth="1"/>
    <col min="6" max="6" width="11.140625" style="1396" customWidth="1"/>
    <col min="7" max="7" width="11.28515625" style="1396" customWidth="1"/>
    <col min="8" max="16384" width="9.140625" style="56"/>
  </cols>
  <sheetData>
    <row r="2" spans="1:8" ht="13.5" thickBot="1" x14ac:dyDescent="0.25">
      <c r="A2" s="46" t="s">
        <v>499</v>
      </c>
    </row>
    <row r="3" spans="1:8" ht="13.5" thickBot="1" x14ac:dyDescent="0.25">
      <c r="B3" s="83" t="s">
        <v>109</v>
      </c>
      <c r="C3" s="858"/>
      <c r="H3" s="1773" t="s">
        <v>724</v>
      </c>
    </row>
    <row r="4" spans="1:8" x14ac:dyDescent="0.2">
      <c r="A4" s="1899" t="s">
        <v>76</v>
      </c>
      <c r="B4" s="1900"/>
      <c r="C4" s="667"/>
    </row>
    <row r="5" spans="1:8" x14ac:dyDescent="0.2">
      <c r="A5" s="840"/>
    </row>
    <row r="6" spans="1:8" ht="12.75" customHeight="1" thickBot="1" x14ac:dyDescent="0.25">
      <c r="D6" s="56"/>
      <c r="E6" s="56"/>
      <c r="F6" s="56"/>
      <c r="G6" s="56"/>
    </row>
    <row r="7" spans="1:8" ht="22.5" customHeight="1" thickBot="1" x14ac:dyDescent="0.25">
      <c r="A7" s="1407" t="s">
        <v>67</v>
      </c>
      <c r="B7" s="1407" t="s">
        <v>340</v>
      </c>
      <c r="C7" s="1407" t="s">
        <v>763</v>
      </c>
      <c r="D7" s="1407" t="s">
        <v>767</v>
      </c>
      <c r="E7" s="1407" t="s">
        <v>768</v>
      </c>
      <c r="F7" s="1407" t="s">
        <v>878</v>
      </c>
      <c r="G7" s="1407" t="s">
        <v>879</v>
      </c>
      <c r="H7" s="1407" t="s">
        <v>880</v>
      </c>
    </row>
    <row r="8" spans="1:8" ht="20.100000000000001" customHeight="1" x14ac:dyDescent="0.2">
      <c r="A8" s="839">
        <v>1</v>
      </c>
      <c r="B8" s="1405" t="s">
        <v>916</v>
      </c>
      <c r="C8" s="1406">
        <v>15.54</v>
      </c>
      <c r="D8" s="1401">
        <f t="shared" ref="D8:D17" si="0">C8/$C$35*$D$35</f>
        <v>20.591118792321968</v>
      </c>
      <c r="E8" s="1401">
        <f>'[30]2.28 to 2.37'!$E$157</f>
        <v>21.579711516</v>
      </c>
      <c r="F8" s="1418">
        <f>'[30]2.28 to 2.37'!$C$157</f>
        <v>28.058322189999998</v>
      </c>
      <c r="G8" s="1419">
        <f>F8/$F$35*$G$35</f>
        <v>29.592499724220573</v>
      </c>
      <c r="H8" s="1419">
        <f>G8/$G$35*$H$35</f>
        <v>32.465755574687044</v>
      </c>
    </row>
    <row r="9" spans="1:8" ht="20.100000000000001" customHeight="1" x14ac:dyDescent="0.2">
      <c r="A9" s="841">
        <v>2</v>
      </c>
      <c r="B9" s="355" t="s">
        <v>917</v>
      </c>
      <c r="C9" s="868">
        <v>0.56000000000000005</v>
      </c>
      <c r="D9" s="1397">
        <f t="shared" si="0"/>
        <v>0.74202229882241333</v>
      </c>
      <c r="E9" s="1397">
        <f>'[30]2.28 to 2.37'!$E$170</f>
        <v>0.52026340000000004</v>
      </c>
      <c r="F9" s="1397">
        <f>'[30]2.28 to 2.37'!$C$170</f>
        <v>1.1330374000000001</v>
      </c>
      <c r="G9" s="1397">
        <f t="shared" ref="G9:G17" si="1">F9/$F$35*$G$35</f>
        <v>1.1949898044502996</v>
      </c>
      <c r="H9" s="1397">
        <f t="shared" ref="H9:H17" si="2">G9/$G$35*$H$35</f>
        <v>1.3110162124551084</v>
      </c>
    </row>
    <row r="10" spans="1:8" ht="20.100000000000001" customHeight="1" x14ac:dyDescent="0.2">
      <c r="A10" s="841">
        <v>3</v>
      </c>
      <c r="B10" s="355" t="s">
        <v>918</v>
      </c>
      <c r="C10" s="868"/>
      <c r="D10" s="1397"/>
      <c r="E10" s="1397"/>
      <c r="F10" s="1397"/>
      <c r="G10" s="1397"/>
      <c r="H10" s="1397"/>
    </row>
    <row r="11" spans="1:8" ht="20.100000000000001" customHeight="1" x14ac:dyDescent="0.2">
      <c r="A11" s="841">
        <v>4</v>
      </c>
      <c r="B11" s="355" t="s">
        <v>919</v>
      </c>
      <c r="C11" s="868"/>
      <c r="D11" s="1397"/>
      <c r="E11" s="1397"/>
      <c r="F11" s="1397"/>
      <c r="G11" s="1397"/>
      <c r="H11" s="1397"/>
    </row>
    <row r="12" spans="1:8" ht="20.100000000000001" customHeight="1" x14ac:dyDescent="0.2">
      <c r="A12" s="841">
        <v>5</v>
      </c>
      <c r="B12" s="355" t="s">
        <v>920</v>
      </c>
      <c r="C12" s="868">
        <v>9.24</v>
      </c>
      <c r="D12" s="1397">
        <f t="shared" si="0"/>
        <v>12.243367930569818</v>
      </c>
      <c r="E12" s="1397">
        <f>'[30]2.28 to 2.37'!$E$158</f>
        <v>9.5308557199999981</v>
      </c>
      <c r="F12" s="1397">
        <f>'[30]2.28 to 2.37'!$C$158</f>
        <v>8.5746559659999999</v>
      </c>
      <c r="G12" s="1397">
        <f t="shared" si="1"/>
        <v>9.0435024086927172</v>
      </c>
      <c r="H12" s="1397">
        <f t="shared" si="2"/>
        <v>9.92157274565775</v>
      </c>
    </row>
    <row r="13" spans="1:8" ht="20.100000000000001" customHeight="1" x14ac:dyDescent="0.2">
      <c r="A13" s="841">
        <v>6</v>
      </c>
      <c r="B13" s="355" t="s">
        <v>921</v>
      </c>
      <c r="C13" s="868">
        <v>115.76</v>
      </c>
      <c r="D13" s="1397">
        <f t="shared" si="0"/>
        <v>153.38660948514743</v>
      </c>
      <c r="E13" s="1397">
        <f>'[30]2.28 to 2.37'!$E$159</f>
        <v>206.94896402699999</v>
      </c>
      <c r="F13" s="1397">
        <f>'[30]2.28 to 2.37'!$C$159</f>
        <v>242.12807019299999</v>
      </c>
      <c r="G13" s="1397">
        <f t="shared" si="1"/>
        <v>255.36718845455718</v>
      </c>
      <c r="H13" s="1397">
        <f t="shared" si="2"/>
        <v>280.16182476720672</v>
      </c>
    </row>
    <row r="14" spans="1:8" ht="27" customHeight="1" x14ac:dyDescent="0.2">
      <c r="A14" s="841">
        <v>7</v>
      </c>
      <c r="B14" s="355" t="s">
        <v>922</v>
      </c>
      <c r="C14" s="868">
        <v>4.22</v>
      </c>
      <c r="D14" s="1397">
        <f t="shared" si="0"/>
        <v>5.5916680375546139</v>
      </c>
      <c r="E14" s="1397">
        <f>'[30]2.28 to 2.37'!$E$160</f>
        <v>4.3802624000000003</v>
      </c>
      <c r="F14" s="1397">
        <f>'[30]2.28 to 2.37'!$C$160</f>
        <v>4.4023184000000004</v>
      </c>
      <c r="G14" s="1397">
        <f t="shared" si="1"/>
        <v>4.6430290861925263</v>
      </c>
      <c r="H14" s="1397">
        <f t="shared" si="2"/>
        <v>5.0938396162292898</v>
      </c>
    </row>
    <row r="15" spans="1:8" ht="20.100000000000001" customHeight="1" x14ac:dyDescent="0.2">
      <c r="A15" s="841">
        <v>8</v>
      </c>
      <c r="B15" s="355" t="s">
        <v>923</v>
      </c>
      <c r="C15" s="868">
        <v>45.19</v>
      </c>
      <c r="D15" s="1397">
        <f t="shared" si="0"/>
        <v>59.878549435330093</v>
      </c>
      <c r="E15" s="1397">
        <f>'[30]2.28 to 2.37'!$E$161</f>
        <v>49.566589661999998</v>
      </c>
      <c r="F15" s="1397">
        <f>'[30]2.28 to 2.37'!$C$161</f>
        <v>53.403843129999998</v>
      </c>
      <c r="G15" s="1397">
        <f t="shared" si="1"/>
        <v>56.323867207572469</v>
      </c>
      <c r="H15" s="1397">
        <f t="shared" si="2"/>
        <v>61.792579972063898</v>
      </c>
    </row>
    <row r="16" spans="1:8" ht="20.100000000000001" customHeight="1" x14ac:dyDescent="0.2">
      <c r="A16" s="841">
        <v>9</v>
      </c>
      <c r="B16" s="355" t="s">
        <v>567</v>
      </c>
      <c r="C16" s="868"/>
      <c r="D16" s="1397"/>
      <c r="E16" s="1397"/>
      <c r="F16" s="1397"/>
      <c r="G16" s="1397"/>
      <c r="H16" s="1397">
        <f t="shared" si="2"/>
        <v>0</v>
      </c>
    </row>
    <row r="17" spans="1:8" ht="31.5" customHeight="1" x14ac:dyDescent="0.2">
      <c r="A17" s="841">
        <v>10</v>
      </c>
      <c r="B17" s="355" t="s">
        <v>1108</v>
      </c>
      <c r="C17" s="868">
        <f>0.11+0.02+0.02</f>
        <v>0.15</v>
      </c>
      <c r="D17" s="1397">
        <f t="shared" si="0"/>
        <v>0.19875597289886068</v>
      </c>
      <c r="E17" s="1397">
        <f>'[30]2.28 to 2.37'!$E$179+'[30]2.28 to 2.37'!$E$180</f>
        <v>0.13999999999999999</v>
      </c>
      <c r="F17" s="1397">
        <f>'[30]2.28 to 2.37'!$C$179+'[30]2.28 to 2.37'!$C$180</f>
        <v>0.13999999999999999</v>
      </c>
      <c r="G17" s="1397">
        <f t="shared" si="1"/>
        <v>0.14765494291983822</v>
      </c>
      <c r="H17" s="1397">
        <f t="shared" si="2"/>
        <v>0.16199136034142839</v>
      </c>
    </row>
    <row r="18" spans="1:8" ht="20.100000000000001" customHeight="1" x14ac:dyDescent="0.2">
      <c r="A18" s="841">
        <v>11</v>
      </c>
      <c r="B18" s="355" t="s">
        <v>924</v>
      </c>
      <c r="C18" s="868"/>
      <c r="D18" s="1397"/>
      <c r="E18" s="1397"/>
      <c r="F18" s="1397"/>
      <c r="G18" s="1397"/>
      <c r="H18" s="1397"/>
    </row>
    <row r="19" spans="1:8" ht="20.100000000000001" customHeight="1" thickBot="1" x14ac:dyDescent="0.25">
      <c r="A19" s="842"/>
      <c r="B19" s="843"/>
      <c r="C19" s="869"/>
      <c r="D19" s="1398"/>
      <c r="E19" s="1398"/>
      <c r="F19" s="1398"/>
      <c r="G19" s="1398"/>
      <c r="H19" s="1398"/>
    </row>
    <row r="20" spans="1:8" ht="20.100000000000001" customHeight="1" thickBot="1" x14ac:dyDescent="0.25">
      <c r="A20" s="844"/>
      <c r="B20" s="845" t="s">
        <v>925</v>
      </c>
      <c r="C20" s="870">
        <f t="shared" ref="C20:H20" si="3">SUM(C8:C18)</f>
        <v>190.66</v>
      </c>
      <c r="D20" s="1399">
        <f t="shared" si="3"/>
        <v>252.6320919526452</v>
      </c>
      <c r="E20" s="1399">
        <f t="shared" si="3"/>
        <v>292.66664672499996</v>
      </c>
      <c r="F20" s="1399">
        <f t="shared" si="3"/>
        <v>337.84024727899998</v>
      </c>
      <c r="G20" s="1399">
        <f t="shared" si="3"/>
        <v>356.3127316286056</v>
      </c>
      <c r="H20" s="1399">
        <f t="shared" si="3"/>
        <v>390.90858024864121</v>
      </c>
    </row>
    <row r="21" spans="1:8" ht="20.100000000000001" customHeight="1" x14ac:dyDescent="0.2">
      <c r="A21" s="839">
        <v>12</v>
      </c>
      <c r="B21" s="846" t="s">
        <v>926</v>
      </c>
      <c r="C21" s="871"/>
      <c r="D21" s="1400"/>
      <c r="E21" s="1400"/>
      <c r="F21" s="1401"/>
      <c r="G21" s="1401"/>
      <c r="H21" s="1401"/>
    </row>
    <row r="22" spans="1:8" ht="20.100000000000001" customHeight="1" x14ac:dyDescent="0.2">
      <c r="A22" s="841" t="s">
        <v>402</v>
      </c>
      <c r="B22" s="355" t="s">
        <v>927</v>
      </c>
      <c r="C22" s="868">
        <v>3.96</v>
      </c>
      <c r="D22" s="1397">
        <f t="shared" ref="D22:D34" si="4">C22/$C$35*$D$35</f>
        <v>5.2471576845299222</v>
      </c>
      <c r="E22" s="1397">
        <f>'[30]2.28 to 2.37'!$E$162</f>
        <v>5.0490439</v>
      </c>
      <c r="F22" s="1397">
        <f>'[30]2.28 to 2.37'!$C$162</f>
        <v>6.0563295000000004</v>
      </c>
      <c r="G22" s="1397">
        <f t="shared" ref="G22:G34" si="5">F22/$F$35*$G$35</f>
        <v>6.387478475901661</v>
      </c>
      <c r="H22" s="1397">
        <f t="shared" ref="H22:H31" si="6">G22/$G$35*$H$35</f>
        <v>7.007664674149451</v>
      </c>
    </row>
    <row r="23" spans="1:8" ht="20.100000000000001" customHeight="1" x14ac:dyDescent="0.2">
      <c r="A23" s="841" t="s">
        <v>404</v>
      </c>
      <c r="B23" s="354" t="s">
        <v>928</v>
      </c>
      <c r="C23" s="868">
        <v>5.26</v>
      </c>
      <c r="D23" s="1397">
        <f t="shared" si="4"/>
        <v>6.969709449653382</v>
      </c>
      <c r="E23" s="1397">
        <f>'[30]2.28 to 2.37'!$E$163</f>
        <v>5.4228592750000004</v>
      </c>
      <c r="F23" s="1397">
        <f>'[30]2.28 to 2.37'!$C$163</f>
        <v>5.62023735</v>
      </c>
      <c r="G23" s="1397">
        <f t="shared" si="5"/>
        <v>5.9275416079299497</v>
      </c>
      <c r="H23" s="1397">
        <f t="shared" si="6"/>
        <v>6.5030706697728906</v>
      </c>
    </row>
    <row r="24" spans="1:8" ht="20.100000000000001" customHeight="1" x14ac:dyDescent="0.2">
      <c r="A24" s="841" t="s">
        <v>406</v>
      </c>
      <c r="B24" s="354" t="s">
        <v>929</v>
      </c>
      <c r="C24" s="868">
        <v>2.08</v>
      </c>
      <c r="D24" s="1397">
        <f t="shared" si="4"/>
        <v>2.7560828241975353</v>
      </c>
      <c r="E24" s="1397">
        <f>'[30]2.28 to 2.37'!$E$164</f>
        <v>3.3082672999999998</v>
      </c>
      <c r="F24" s="1397">
        <f>'[30]2.28 to 2.37'!$C$164</f>
        <v>4.4758240999999996</v>
      </c>
      <c r="G24" s="1397">
        <f t="shared" si="5"/>
        <v>4.720553942890974</v>
      </c>
      <c r="H24" s="1397">
        <f t="shared" si="6"/>
        <v>5.1788916757710677</v>
      </c>
    </row>
    <row r="25" spans="1:8" ht="20.100000000000001" customHeight="1" x14ac:dyDescent="0.2">
      <c r="A25" s="847" t="s">
        <v>408</v>
      </c>
      <c r="B25" s="354" t="s">
        <v>930</v>
      </c>
      <c r="C25" s="868">
        <v>0.52</v>
      </c>
      <c r="D25" s="1397">
        <f t="shared" si="4"/>
        <v>0.68902070604938381</v>
      </c>
      <c r="E25" s="1397">
        <f>'[30]2.28 to 2.37'!$E$165</f>
        <v>0.60377099999999995</v>
      </c>
      <c r="F25" s="1397">
        <f>'[30]2.28 to 2.37'!$C$165</f>
        <v>0.59260330000000006</v>
      </c>
      <c r="G25" s="1397">
        <f t="shared" si="5"/>
        <v>0.6250057602543414</v>
      </c>
      <c r="H25" s="1397">
        <f t="shared" si="6"/>
        <v>0.68569010507014028</v>
      </c>
    </row>
    <row r="26" spans="1:8" ht="20.100000000000001" customHeight="1" x14ac:dyDescent="0.2">
      <c r="A26" s="848" t="s">
        <v>382</v>
      </c>
      <c r="B26" s="354" t="s">
        <v>931</v>
      </c>
      <c r="C26" s="868">
        <v>0.28000000000000003</v>
      </c>
      <c r="D26" s="1397">
        <f t="shared" si="4"/>
        <v>0.37101114941120666</v>
      </c>
      <c r="E26" s="1397">
        <f>'[30]2.28 to 2.37'!$E$166</f>
        <v>0.31691649999999999</v>
      </c>
      <c r="F26" s="1397">
        <f>'[30]2.28 to 2.37'!$C$166</f>
        <v>0.32706000000000002</v>
      </c>
      <c r="G26" s="1397">
        <f t="shared" si="5"/>
        <v>0.34494304022401645</v>
      </c>
      <c r="H26" s="1397">
        <f t="shared" si="6"/>
        <v>0.37843495938048277</v>
      </c>
    </row>
    <row r="27" spans="1:8" ht="20.100000000000001" customHeight="1" x14ac:dyDescent="0.2">
      <c r="A27" s="848" t="s">
        <v>384</v>
      </c>
      <c r="B27" s="354" t="s">
        <v>932</v>
      </c>
      <c r="C27" s="868">
        <v>2.41</v>
      </c>
      <c r="D27" s="1397">
        <f t="shared" si="4"/>
        <v>3.1933459645750286</v>
      </c>
      <c r="E27" s="1397">
        <f>'[30]2.28 to 2.37'!$E$167</f>
        <v>2.699798269</v>
      </c>
      <c r="F27" s="1397">
        <f>'[30]2.28 to 2.37'!$C$167</f>
        <v>4.0625517740000001</v>
      </c>
      <c r="G27" s="1397">
        <f t="shared" si="5"/>
        <v>4.2846846449918399</v>
      </c>
      <c r="H27" s="1397">
        <f t="shared" si="6"/>
        <v>4.7007020594838806</v>
      </c>
    </row>
    <row r="28" spans="1:8" ht="20.100000000000001" customHeight="1" x14ac:dyDescent="0.2">
      <c r="A28" s="848" t="s">
        <v>569</v>
      </c>
      <c r="B28" s="354" t="s">
        <v>933</v>
      </c>
      <c r="C28" s="868">
        <v>0.68</v>
      </c>
      <c r="D28" s="1397">
        <f t="shared" si="4"/>
        <v>0.90102707714150188</v>
      </c>
      <c r="E28" s="1397">
        <f>'[30]2.28 to 2.37'!$E$173</f>
        <v>0.54314209999999996</v>
      </c>
      <c r="F28" s="1397">
        <f>'[30]2.28 to 2.37'!$C$173</f>
        <v>0.535578</v>
      </c>
      <c r="G28" s="1397">
        <f t="shared" si="5"/>
        <v>0.56486242156515087</v>
      </c>
      <c r="H28" s="1397">
        <f t="shared" si="6"/>
        <v>0.61970720563529669</v>
      </c>
    </row>
    <row r="29" spans="1:8" ht="20.100000000000001" customHeight="1" x14ac:dyDescent="0.2">
      <c r="A29" s="848" t="s">
        <v>18</v>
      </c>
      <c r="B29" s="354" t="s">
        <v>934</v>
      </c>
      <c r="C29" s="868">
        <v>7.95</v>
      </c>
      <c r="D29" s="1397">
        <f t="shared" si="4"/>
        <v>10.534066563639616</v>
      </c>
      <c r="E29" s="1397">
        <f>'[30]2.28 to 2.37'!$E$176</f>
        <v>5.4713816180000006</v>
      </c>
      <c r="F29" s="1397">
        <f>'[30]2.28 to 2.37'!C176+'[31]chapter-3'!G71-'[30]2.28 to 2.37'!C185+'[30]2.28 to 2.37'!C184</f>
        <v>27.102250749352571</v>
      </c>
      <c r="G29" s="1397">
        <f t="shared" si="5"/>
        <v>28.584152052819977</v>
      </c>
      <c r="H29" s="1397">
        <f t="shared" si="6"/>
        <v>31.359503337158003</v>
      </c>
    </row>
    <row r="30" spans="1:8" ht="20.100000000000001" customHeight="1" x14ac:dyDescent="0.2">
      <c r="A30" s="848" t="s">
        <v>536</v>
      </c>
      <c r="B30" s="354" t="s">
        <v>935</v>
      </c>
      <c r="C30" s="868">
        <v>2.58</v>
      </c>
      <c r="D30" s="1397">
        <f t="shared" si="4"/>
        <v>3.4186027338604039</v>
      </c>
      <c r="E30" s="1397">
        <f>'[30]2.28 to 2.37'!$E$174</f>
        <v>0.94910740000000005</v>
      </c>
      <c r="F30" s="1397">
        <f>'[30]2.28 to 2.37'!$C$174</f>
        <v>0.38981345000000001</v>
      </c>
      <c r="G30" s="1397">
        <f>F30/$F$35*$G$35+2.16</f>
        <v>2.5711277336366805</v>
      </c>
      <c r="H30" s="1397">
        <f t="shared" si="6"/>
        <v>2.8207689559671394</v>
      </c>
    </row>
    <row r="31" spans="1:8" ht="24.75" customHeight="1" thickBot="1" x14ac:dyDescent="0.25">
      <c r="A31" s="849" t="s">
        <v>334</v>
      </c>
      <c r="B31" s="843" t="s">
        <v>1107</v>
      </c>
      <c r="C31" s="872"/>
      <c r="D31" s="1398"/>
      <c r="E31" s="1398">
        <f>'[30]2.28 to 2.37'!$E$183</f>
        <v>2.750089</v>
      </c>
      <c r="F31" s="1398">
        <f>'[30]2.28 to 2.37'!$C$183</f>
        <v>3</v>
      </c>
      <c r="G31" s="1397">
        <v>1</v>
      </c>
      <c r="H31" s="1397">
        <f t="shared" si="6"/>
        <v>1.0970940568469381</v>
      </c>
    </row>
    <row r="32" spans="1:8" ht="20.100000000000001" customHeight="1" thickBot="1" x14ac:dyDescent="0.25">
      <c r="A32" s="850"/>
      <c r="B32" s="851" t="s">
        <v>936</v>
      </c>
      <c r="C32" s="873">
        <f>SUM(C22:C31)</f>
        <v>25.72</v>
      </c>
      <c r="D32" s="1399">
        <f>SUM(D22:D31)</f>
        <v>34.080024153057977</v>
      </c>
      <c r="E32" s="1399">
        <f>SUM(E22:E31)</f>
        <v>27.114376362000002</v>
      </c>
      <c r="F32" s="1399">
        <f>SUM(F21:F31)</f>
        <v>52.16224822335257</v>
      </c>
      <c r="G32" s="1399">
        <f>SUM(G22:G31)</f>
        <v>55.010349680214595</v>
      </c>
      <c r="H32" s="1399">
        <f>SUM(H22:H31)</f>
        <v>60.351527699235291</v>
      </c>
    </row>
    <row r="33" spans="1:8" ht="27.75" customHeight="1" x14ac:dyDescent="0.2">
      <c r="A33" s="852">
        <v>13</v>
      </c>
      <c r="B33" s="853" t="s">
        <v>937</v>
      </c>
      <c r="C33" s="874"/>
      <c r="D33" s="1401"/>
      <c r="E33" s="1401"/>
      <c r="F33" s="1401"/>
      <c r="G33" s="1401"/>
      <c r="H33" s="1401"/>
    </row>
    <row r="34" spans="1:8" ht="28.5" customHeight="1" thickBot="1" x14ac:dyDescent="0.25">
      <c r="A34" s="854">
        <v>14</v>
      </c>
      <c r="B34" s="855" t="s">
        <v>938</v>
      </c>
      <c r="C34" s="875">
        <v>-21.65</v>
      </c>
      <c r="D34" s="1398">
        <f t="shared" si="4"/>
        <v>-28.687112088402227</v>
      </c>
      <c r="E34" s="1398">
        <f>'[30]2.28 to 2.37'!$E$184</f>
        <v>-0.60603640000000003</v>
      </c>
      <c r="F34" s="1398">
        <v>0</v>
      </c>
      <c r="G34" s="1398">
        <f t="shared" si="5"/>
        <v>0</v>
      </c>
      <c r="H34" s="1398">
        <f>G34/$G$35*$H$35</f>
        <v>0</v>
      </c>
    </row>
    <row r="35" spans="1:8" ht="20.100000000000001" customHeight="1" thickBot="1" x14ac:dyDescent="0.25">
      <c r="A35" s="856"/>
      <c r="B35" s="851" t="s">
        <v>353</v>
      </c>
      <c r="C35" s="873">
        <f>C20+C32+C33+C34</f>
        <v>194.73</v>
      </c>
      <c r="D35" s="1402">
        <f>[21]Sheet1!$H$162</f>
        <v>258.02500401730094</v>
      </c>
      <c r="E35" s="1402">
        <f>E20+E32+E34</f>
        <v>319.174986687</v>
      </c>
      <c r="F35" s="1402">
        <f>F20+F32+F34</f>
        <v>390.00249550235253</v>
      </c>
      <c r="G35" s="1402">
        <f>'[31]chapter-4'!$C$5</f>
        <v>411.32711579995953</v>
      </c>
      <c r="H35" s="1402">
        <f>'[31]chapter-4'!$D$5</f>
        <v>451.26453416412789</v>
      </c>
    </row>
    <row r="36" spans="1:8" ht="15" customHeight="1" x14ac:dyDescent="0.2">
      <c r="A36" s="1901"/>
      <c r="B36" s="1903"/>
      <c r="C36" s="857"/>
      <c r="D36" s="1403"/>
      <c r="E36" s="1403"/>
      <c r="F36" s="1403"/>
      <c r="G36" s="1403"/>
    </row>
    <row r="37" spans="1:8" hidden="1" x14ac:dyDescent="0.2">
      <c r="A37" s="1902"/>
      <c r="B37" s="1904"/>
    </row>
    <row r="38" spans="1:8" hidden="1" x14ac:dyDescent="0.2"/>
    <row r="39" spans="1:8" hidden="1" x14ac:dyDescent="0.2"/>
    <row r="40" spans="1:8" hidden="1" x14ac:dyDescent="0.2"/>
    <row r="41" spans="1:8" hidden="1" x14ac:dyDescent="0.2"/>
    <row r="42" spans="1:8" hidden="1" x14ac:dyDescent="0.2"/>
    <row r="43" spans="1:8" hidden="1" x14ac:dyDescent="0.2"/>
    <row r="44" spans="1:8" hidden="1" x14ac:dyDescent="0.2"/>
    <row r="45" spans="1:8" hidden="1" x14ac:dyDescent="0.2"/>
    <row r="46" spans="1:8" hidden="1" x14ac:dyDescent="0.2"/>
    <row r="47" spans="1:8" hidden="1" x14ac:dyDescent="0.2"/>
    <row r="48" spans="1:8" hidden="1" x14ac:dyDescent="0.2"/>
    <row r="49" spans="4:6" hidden="1" x14ac:dyDescent="0.2"/>
    <row r="50" spans="4:6" hidden="1" x14ac:dyDescent="0.2"/>
    <row r="51" spans="4:6" hidden="1" x14ac:dyDescent="0.2"/>
    <row r="52" spans="4:6" hidden="1" x14ac:dyDescent="0.2"/>
    <row r="53" spans="4:6" hidden="1" x14ac:dyDescent="0.2"/>
    <row r="54" spans="4:6" hidden="1" x14ac:dyDescent="0.2"/>
    <row r="55" spans="4:6" x14ac:dyDescent="0.2">
      <c r="E55" s="1403"/>
    </row>
    <row r="56" spans="4:6" x14ac:dyDescent="0.2">
      <c r="D56" s="1404"/>
      <c r="E56" s="1404"/>
    </row>
    <row r="57" spans="4:6" x14ac:dyDescent="0.2">
      <c r="E57" s="1403"/>
    </row>
    <row r="58" spans="4:6" x14ac:dyDescent="0.2">
      <c r="E58" s="1403"/>
    </row>
    <row r="60" spans="4:6" x14ac:dyDescent="0.2">
      <c r="F60" s="1403"/>
    </row>
  </sheetData>
  <customSheetViews>
    <customSheetView guid="{80837D84-6D11-4A5F-87D7-272A542EF21A}" showGridLines="0" fitToPage="1" showRuler="0" topLeftCell="A156">
      <selection activeCell="H179" sqref="H179"/>
      <pageMargins left="0.75" right="0.75" top="1" bottom="1" header="0.5" footer="0.5"/>
      <printOptions horizontalCentered="1" gridLines="1"/>
      <pageSetup paperSize="9" scale="83" orientation="portrait" horizontalDpi="180" verticalDpi="180" r:id="rId1"/>
      <headerFooter alignWithMargins="0"/>
    </customSheetView>
    <customSheetView guid="{5FF41722-DC20-49D9-9ED5-FEC8C9404ECB}" showPageBreaks="1" showGridLines="0" fitToPage="1" printArea="1" showRuler="0" topLeftCell="A156">
      <selection activeCell="H179" sqref="H179"/>
      <pageMargins left="0.75" right="0.75" top="1" bottom="1" header="0.5" footer="0.5"/>
      <printOptions horizontalCentered="1" gridLines="1"/>
      <pageSetup paperSize="9" scale="83" orientation="portrait" horizontalDpi="180" verticalDpi="180" r:id="rId2"/>
      <headerFooter alignWithMargins="0"/>
    </customSheetView>
    <customSheetView guid="{23A957A0-E704-4A72-A26E-A4FA7FC4849F}" showPageBreaks="1" showGridLines="0" fitToPage="1" printArea="1" showRuler="0" topLeftCell="A156">
      <selection activeCell="H179" sqref="H179"/>
      <pageMargins left="0.75" right="0.75" top="1" bottom="1" header="0.5" footer="0.5"/>
      <printOptions horizontalCentered="1" gridLines="1"/>
      <pageSetup paperSize="9" scale="83" orientation="portrait" horizontalDpi="180" verticalDpi="180" r:id="rId3"/>
      <headerFooter alignWithMargins="0"/>
    </customSheetView>
  </customSheetViews>
  <mergeCells count="3">
    <mergeCell ref="A4:B4"/>
    <mergeCell ref="A36:A37"/>
    <mergeCell ref="B36:B37"/>
  </mergeCells>
  <phoneticPr fontId="0" type="noConversion"/>
  <printOptions horizontalCentered="1" gridLines="1"/>
  <pageMargins left="0.55118110236220474" right="0.55118110236220474" top="0.98425196850393704" bottom="0.98425196850393704" header="0.51181102362204722" footer="0.51181102362204722"/>
  <pageSetup paperSize="9"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50"/>
    <pageSetUpPr fitToPage="1"/>
  </sheetPr>
  <dimension ref="A1:Y35"/>
  <sheetViews>
    <sheetView showGridLines="0" zoomScale="130" zoomScaleNormal="130" workbookViewId="0">
      <pane xSplit="2" ySplit="12" topLeftCell="O21" activePane="bottomRight" state="frozen"/>
      <selection pane="topRight" activeCell="C1" sqref="C1"/>
      <selection pane="bottomLeft" activeCell="A13" sqref="A13"/>
      <selection pane="bottomRight" activeCell="A3" sqref="A3:X29"/>
    </sheetView>
  </sheetViews>
  <sheetFormatPr defaultRowHeight="12.75" x14ac:dyDescent="0.2"/>
  <cols>
    <col min="1" max="1" width="4.28515625" style="62" customWidth="1"/>
    <col min="2" max="2" width="31.28515625" style="62" customWidth="1"/>
    <col min="3" max="4" width="10.28515625" style="62" hidden="1" customWidth="1"/>
    <col min="5" max="5" width="8.85546875" style="62" hidden="1" customWidth="1"/>
    <col min="6" max="10" width="9" style="62" hidden="1" customWidth="1"/>
    <col min="11" max="11" width="10.5703125" style="62" hidden="1" customWidth="1"/>
    <col min="12" max="14" width="9" style="62" hidden="1" customWidth="1"/>
    <col min="15" max="15" width="9" style="62" customWidth="1"/>
    <col min="16" max="24" width="9.140625" style="62"/>
    <col min="25" max="25" width="9.140625" style="1065" customWidth="1"/>
    <col min="26" max="16384" width="9.140625" style="62"/>
  </cols>
  <sheetData>
    <row r="1" spans="1:25" s="16" customFormat="1" x14ac:dyDescent="0.2">
      <c r="A1" s="5" t="s">
        <v>499</v>
      </c>
      <c r="C1" s="51"/>
      <c r="D1" s="51"/>
      <c r="E1" s="51"/>
      <c r="Y1" s="1058"/>
    </row>
    <row r="2" spans="1:25" s="16" customFormat="1" x14ac:dyDescent="0.2">
      <c r="C2" s="5"/>
      <c r="D2" s="5"/>
      <c r="E2" s="5"/>
      <c r="Y2" s="1058"/>
    </row>
    <row r="3" spans="1:25" s="16" customFormat="1" x14ac:dyDescent="0.2">
      <c r="A3" s="1781" t="s">
        <v>318</v>
      </c>
      <c r="B3" s="1880"/>
      <c r="D3" s="71"/>
      <c r="E3" s="71"/>
      <c r="H3" s="71" t="s">
        <v>725</v>
      </c>
      <c r="X3" s="1195" t="s">
        <v>1345</v>
      </c>
      <c r="Y3" s="1058"/>
    </row>
    <row r="4" spans="1:25" s="16" customFormat="1" x14ac:dyDescent="0.2">
      <c r="A4" s="5" t="s">
        <v>537</v>
      </c>
      <c r="B4" s="5"/>
      <c r="C4" s="7"/>
      <c r="D4" s="7"/>
      <c r="E4" s="7"/>
      <c r="Y4" s="1058"/>
    </row>
    <row r="5" spans="1:25" s="16" customFormat="1" x14ac:dyDescent="0.2">
      <c r="A5" s="5" t="s">
        <v>72</v>
      </c>
      <c r="B5" s="5"/>
      <c r="C5" s="7"/>
      <c r="D5" s="7"/>
      <c r="E5" s="7"/>
      <c r="Y5" s="1058"/>
    </row>
    <row r="6" spans="1:25" s="16" customFormat="1" ht="13.5" thickBot="1" x14ac:dyDescent="0.25">
      <c r="A6" s="7"/>
      <c r="B6" s="7"/>
      <c r="C6" s="7"/>
      <c r="D6" s="7"/>
      <c r="E6" s="7"/>
      <c r="Y6" s="1058"/>
    </row>
    <row r="7" spans="1:25" s="16" customFormat="1" ht="13.5" thickBot="1" x14ac:dyDescent="0.25">
      <c r="A7" s="7"/>
      <c r="B7" s="90" t="s">
        <v>109</v>
      </c>
      <c r="C7" s="7"/>
      <c r="D7" s="7"/>
      <c r="E7" s="7"/>
      <c r="Y7" s="1058"/>
    </row>
    <row r="8" spans="1:25" s="16" customFormat="1" x14ac:dyDescent="0.2">
      <c r="A8" s="1917" t="s">
        <v>116</v>
      </c>
      <c r="B8" s="1917"/>
      <c r="C8" s="74"/>
      <c r="D8" s="74"/>
      <c r="E8" s="74"/>
      <c r="Y8" s="1058"/>
    </row>
    <row r="9" spans="1:25" s="16" customFormat="1" ht="13.5" thickBot="1" x14ac:dyDescent="0.25">
      <c r="A9" s="1918"/>
      <c r="B9" s="1918"/>
      <c r="C9" s="75"/>
      <c r="D9" s="75"/>
      <c r="E9" s="75"/>
      <c r="Y9" s="1058"/>
    </row>
    <row r="10" spans="1:25" s="16" customFormat="1" x14ac:dyDescent="0.2">
      <c r="A10" s="1919" t="s">
        <v>67</v>
      </c>
      <c r="B10" s="1922" t="s">
        <v>483</v>
      </c>
      <c r="C10" s="492"/>
      <c r="D10" s="1912" t="s">
        <v>631</v>
      </c>
      <c r="E10" s="1913"/>
      <c r="F10" s="1914"/>
      <c r="G10" s="1912" t="s">
        <v>763</v>
      </c>
      <c r="H10" s="1913"/>
      <c r="I10" s="1914"/>
      <c r="J10" s="1927" t="s">
        <v>764</v>
      </c>
      <c r="K10" s="1913"/>
      <c r="L10" s="1928"/>
      <c r="M10" s="1912" t="s">
        <v>765</v>
      </c>
      <c r="N10" s="1913"/>
      <c r="O10" s="1914"/>
      <c r="P10" s="1912" t="s">
        <v>875</v>
      </c>
      <c r="Q10" s="1913"/>
      <c r="R10" s="1914"/>
      <c r="S10" s="1912" t="s">
        <v>876</v>
      </c>
      <c r="T10" s="1913"/>
      <c r="U10" s="1914"/>
      <c r="V10" s="1912" t="s">
        <v>877</v>
      </c>
      <c r="W10" s="1913"/>
      <c r="X10" s="1914"/>
      <c r="Y10" s="1059"/>
    </row>
    <row r="11" spans="1:25" s="16" customFormat="1" ht="12.75" customHeight="1" x14ac:dyDescent="0.2">
      <c r="A11" s="1920"/>
      <c r="B11" s="1923"/>
      <c r="C11" s="1905" t="s">
        <v>486</v>
      </c>
      <c r="D11" s="1910" t="s">
        <v>484</v>
      </c>
      <c r="E11" s="1907" t="s">
        <v>485</v>
      </c>
      <c r="F11" s="1905" t="s">
        <v>486</v>
      </c>
      <c r="G11" s="1910" t="s">
        <v>484</v>
      </c>
      <c r="H11" s="1907" t="s">
        <v>485</v>
      </c>
      <c r="I11" s="1905" t="s">
        <v>486</v>
      </c>
      <c r="J11" s="1929" t="s">
        <v>484</v>
      </c>
      <c r="K11" s="1907" t="s">
        <v>485</v>
      </c>
      <c r="L11" s="1931" t="s">
        <v>486</v>
      </c>
      <c r="M11" s="1910" t="s">
        <v>484</v>
      </c>
      <c r="N11" s="1907" t="s">
        <v>485</v>
      </c>
      <c r="O11" s="1905" t="s">
        <v>486</v>
      </c>
      <c r="P11" s="1910" t="s">
        <v>484</v>
      </c>
      <c r="Q11" s="1907" t="s">
        <v>485</v>
      </c>
      <c r="R11" s="1905" t="s">
        <v>486</v>
      </c>
      <c r="S11" s="1910" t="s">
        <v>484</v>
      </c>
      <c r="T11" s="1907" t="s">
        <v>485</v>
      </c>
      <c r="U11" s="1905" t="s">
        <v>486</v>
      </c>
      <c r="V11" s="1910" t="s">
        <v>484</v>
      </c>
      <c r="W11" s="1907" t="s">
        <v>485</v>
      </c>
      <c r="X11" s="1905" t="s">
        <v>486</v>
      </c>
      <c r="Y11" s="1925" t="s">
        <v>613</v>
      </c>
    </row>
    <row r="12" spans="1:25" ht="51.75" customHeight="1" thickBot="1" x14ac:dyDescent="0.25">
      <c r="A12" s="1921"/>
      <c r="B12" s="1924"/>
      <c r="C12" s="1915"/>
      <c r="D12" s="1916" t="s">
        <v>484</v>
      </c>
      <c r="E12" s="1908" t="s">
        <v>485</v>
      </c>
      <c r="F12" s="1915"/>
      <c r="G12" s="1916" t="s">
        <v>484</v>
      </c>
      <c r="H12" s="1908" t="s">
        <v>485</v>
      </c>
      <c r="I12" s="1915"/>
      <c r="J12" s="1930" t="s">
        <v>484</v>
      </c>
      <c r="K12" s="1908" t="s">
        <v>485</v>
      </c>
      <c r="L12" s="1932"/>
      <c r="M12" s="1916" t="s">
        <v>484</v>
      </c>
      <c r="N12" s="1908" t="s">
        <v>485</v>
      </c>
      <c r="O12" s="1915"/>
      <c r="P12" s="1911" t="s">
        <v>484</v>
      </c>
      <c r="Q12" s="1909" t="s">
        <v>485</v>
      </c>
      <c r="R12" s="1906"/>
      <c r="S12" s="1911" t="s">
        <v>484</v>
      </c>
      <c r="T12" s="1909" t="s">
        <v>485</v>
      </c>
      <c r="U12" s="1906"/>
      <c r="V12" s="1911" t="s">
        <v>484</v>
      </c>
      <c r="W12" s="1909" t="s">
        <v>485</v>
      </c>
      <c r="X12" s="1906"/>
      <c r="Y12" s="1926"/>
    </row>
    <row r="13" spans="1:25" x14ac:dyDescent="0.2">
      <c r="A13" s="70"/>
      <c r="B13" s="258" t="s">
        <v>357</v>
      </c>
      <c r="C13" s="379"/>
      <c r="D13" s="393"/>
      <c r="E13" s="394"/>
      <c r="F13" s="379"/>
      <c r="G13" s="395"/>
      <c r="H13" s="380"/>
      <c r="I13" s="379"/>
      <c r="J13" s="396"/>
      <c r="K13" s="380"/>
      <c r="L13" s="380"/>
      <c r="M13" s="395"/>
      <c r="N13" s="380"/>
      <c r="O13" s="379"/>
      <c r="P13" s="64"/>
      <c r="Q13" s="64"/>
      <c r="R13" s="379"/>
      <c r="S13" s="64"/>
      <c r="T13" s="64"/>
      <c r="U13" s="379"/>
      <c r="V13" s="64"/>
      <c r="W13" s="64"/>
      <c r="X13" s="379"/>
      <c r="Y13" s="1060"/>
    </row>
    <row r="14" spans="1:25" ht="25.5" x14ac:dyDescent="0.2">
      <c r="A14" s="31" t="s">
        <v>81</v>
      </c>
      <c r="B14" s="259" t="s">
        <v>487</v>
      </c>
      <c r="C14" s="27"/>
      <c r="D14" s="265"/>
      <c r="E14" s="20"/>
      <c r="F14" s="27"/>
      <c r="G14" s="385"/>
      <c r="H14" s="382"/>
      <c r="I14" s="27"/>
      <c r="J14" s="384"/>
      <c r="K14" s="382"/>
      <c r="L14" s="382"/>
      <c r="M14" s="385"/>
      <c r="N14" s="382"/>
      <c r="O14" s="27"/>
      <c r="P14" s="64"/>
      <c r="Q14" s="64"/>
      <c r="R14" s="27"/>
      <c r="S14" s="64"/>
      <c r="T14" s="64"/>
      <c r="U14" s="27"/>
      <c r="V14" s="64"/>
      <c r="W14" s="64"/>
      <c r="X14" s="27"/>
      <c r="Y14" s="1061"/>
    </row>
    <row r="15" spans="1:25" ht="25.5" x14ac:dyDescent="0.2">
      <c r="A15" s="28" t="s">
        <v>82</v>
      </c>
      <c r="B15" s="260" t="s">
        <v>488</v>
      </c>
      <c r="C15" s="27">
        <v>17.57</v>
      </c>
      <c r="D15" s="265">
        <f>3.11-0.68+0.07-0.2</f>
        <v>2.2999999999999994</v>
      </c>
      <c r="E15" s="20"/>
      <c r="F15" s="27">
        <f>D15-E15+C15</f>
        <v>19.87</v>
      </c>
      <c r="G15" s="385">
        <f>5.63+0.69-0.125</f>
        <v>6.1950000000000003</v>
      </c>
      <c r="H15" s="382"/>
      <c r="I15" s="27">
        <f>G15-H15+F15</f>
        <v>26.065000000000001</v>
      </c>
      <c r="J15" s="1066">
        <v>3.47</v>
      </c>
      <c r="K15" s="382"/>
      <c r="L15" s="27">
        <f>J15-K15+I15</f>
        <v>29.535</v>
      </c>
      <c r="M15" s="385">
        <f>7.6-0.06+0.56-0.05</f>
        <v>8.0499999999999989</v>
      </c>
      <c r="N15" s="382"/>
      <c r="O15" s="27">
        <f>M15-N15+L15</f>
        <v>37.585000000000001</v>
      </c>
      <c r="P15" s="385">
        <f>'[30]2.3'!$D$84-'[30]2.3'!$D$85</f>
        <v>8.7650883587514681</v>
      </c>
      <c r="Q15" s="64"/>
      <c r="R15" s="27">
        <f>P15-Q15+O15</f>
        <v>46.350088358751471</v>
      </c>
      <c r="S15" s="385">
        <f>(P15/$P$29)*$S$29</f>
        <v>8.6374742758591658</v>
      </c>
      <c r="T15" s="64"/>
      <c r="U15" s="27">
        <f>S15-T15+R15</f>
        <v>54.98756263461064</v>
      </c>
      <c r="V15" s="385">
        <f>(S15/$P$29)*$S$29</f>
        <v>8.5117181724287789</v>
      </c>
      <c r="W15" s="64"/>
      <c r="X15" s="27">
        <f>V15-W15+U15</f>
        <v>63.499280807039419</v>
      </c>
      <c r="Y15" s="1062">
        <f>[22]Sheet1!$C$29</f>
        <v>3.3399999999999999E-2</v>
      </c>
    </row>
    <row r="16" spans="1:25" x14ac:dyDescent="0.2">
      <c r="A16" s="29" t="s">
        <v>83</v>
      </c>
      <c r="B16" s="261" t="s">
        <v>544</v>
      </c>
      <c r="C16" s="27">
        <v>357.03</v>
      </c>
      <c r="D16" s="265">
        <f>112.03-26.09+4.63-1.2</f>
        <v>89.36999999999999</v>
      </c>
      <c r="E16" s="20"/>
      <c r="F16" s="27">
        <f>D16-E16+C16-0.01</f>
        <v>446.39</v>
      </c>
      <c r="G16" s="385">
        <f>121.44-31.96+9.51-9.19</f>
        <v>89.8</v>
      </c>
      <c r="H16" s="382"/>
      <c r="I16" s="27">
        <f t="shared" ref="I16:I27" si="0">G16-H16+F16</f>
        <v>536.18999999999994</v>
      </c>
      <c r="J16" s="1066">
        <v>105.8</v>
      </c>
      <c r="K16" s="382"/>
      <c r="L16" s="27">
        <f t="shared" ref="L16:L27" si="1">J16-K16+I16</f>
        <v>641.9899999999999</v>
      </c>
      <c r="M16" s="385">
        <f>169.15-36.75+10.74-4.61</f>
        <v>138.53</v>
      </c>
      <c r="N16" s="382"/>
      <c r="O16" s="27">
        <f t="shared" ref="O16:O27" si="2">M16-N16+L16</f>
        <v>780.51999999999987</v>
      </c>
      <c r="P16" s="385">
        <f>'[30]2.3'!$G$84-'[30]2.3'!$G$85+2.72</f>
        <v>195.75176618088594</v>
      </c>
      <c r="Q16" s="64"/>
      <c r="R16" s="27">
        <f t="shared" ref="R16:R27" si="3">P16-Q16+O16</f>
        <v>976.27176618088583</v>
      </c>
      <c r="S16" s="385">
        <f t="shared" ref="S16:S28" si="4">(P16/$P$29)*$S$29</f>
        <v>192.90174561140924</v>
      </c>
      <c r="T16" s="64"/>
      <c r="U16" s="27">
        <f t="shared" ref="U16:U29" si="5">S16-T16+R16</f>
        <v>1169.1735117922951</v>
      </c>
      <c r="V16" s="385">
        <f t="shared" ref="V16:V28" si="6">(S16/$P$29)*$S$29</f>
        <v>190.09321951937667</v>
      </c>
      <c r="W16" s="64"/>
      <c r="X16" s="27">
        <f t="shared" ref="X16:X27" si="7">V16-W16+U16</f>
        <v>1359.2667313116717</v>
      </c>
      <c r="Y16" s="1062">
        <f>[22]Sheet1!$C$39</f>
        <v>5.28E-2</v>
      </c>
    </row>
    <row r="17" spans="1:25" ht="38.25" x14ac:dyDescent="0.2">
      <c r="A17" s="28" t="s">
        <v>61</v>
      </c>
      <c r="B17" s="260" t="s">
        <v>312</v>
      </c>
      <c r="C17" s="27"/>
      <c r="D17" s="265"/>
      <c r="E17" s="20"/>
      <c r="F17" s="27"/>
      <c r="G17" s="385"/>
      <c r="H17" s="382"/>
      <c r="I17" s="27"/>
      <c r="J17" s="1066">
        <f>+'D-15'!L13*90%*'D-8'!Y17</f>
        <v>0</v>
      </c>
      <c r="K17" s="382"/>
      <c r="L17" s="27">
        <f t="shared" si="1"/>
        <v>0</v>
      </c>
      <c r="M17" s="385"/>
      <c r="N17" s="382"/>
      <c r="O17" s="27">
        <f t="shared" si="2"/>
        <v>0</v>
      </c>
      <c r="P17" s="385"/>
      <c r="Q17" s="64"/>
      <c r="R17" s="27">
        <f t="shared" si="3"/>
        <v>0</v>
      </c>
      <c r="S17" s="385">
        <f t="shared" si="4"/>
        <v>0</v>
      </c>
      <c r="T17" s="64"/>
      <c r="U17" s="27">
        <f t="shared" si="5"/>
        <v>0</v>
      </c>
      <c r="V17" s="385">
        <f t="shared" si="6"/>
        <v>0</v>
      </c>
      <c r="W17" s="64"/>
      <c r="X17" s="27">
        <f t="shared" si="7"/>
        <v>0</v>
      </c>
      <c r="Y17" s="1062"/>
    </row>
    <row r="18" spans="1:25" ht="25.5" x14ac:dyDescent="0.2">
      <c r="A18" s="28" t="s">
        <v>62</v>
      </c>
      <c r="B18" s="23" t="s">
        <v>545</v>
      </c>
      <c r="C18" s="27">
        <v>1619.43</v>
      </c>
      <c r="D18" s="265">
        <f>299.55-48.09+11.88-3.59</f>
        <v>259.75000000000006</v>
      </c>
      <c r="E18" s="20"/>
      <c r="F18" s="27">
        <f>1879.19</f>
        <v>1879.19</v>
      </c>
      <c r="G18" s="385">
        <f>367.45-38.14+15.87-8.98</f>
        <v>336.2</v>
      </c>
      <c r="H18" s="382"/>
      <c r="I18" s="27">
        <f t="shared" si="0"/>
        <v>2215.39</v>
      </c>
      <c r="J18" s="1066">
        <v>382.16</v>
      </c>
      <c r="K18" s="382"/>
      <c r="L18" s="27">
        <f t="shared" si="1"/>
        <v>2597.5499999999997</v>
      </c>
      <c r="M18" s="385">
        <f>503.81-63.85+36.13-6.93</f>
        <v>469.15999999999997</v>
      </c>
      <c r="N18" s="382"/>
      <c r="O18" s="27">
        <f t="shared" si="2"/>
        <v>3066.7099999999996</v>
      </c>
      <c r="P18" s="385">
        <f>'[30]2.3'!$H$84-'[30]2.3'!$H$85</f>
        <v>596.33473484605997</v>
      </c>
      <c r="Q18" s="64"/>
      <c r="R18" s="27">
        <f t="shared" si="3"/>
        <v>3663.0447348460593</v>
      </c>
      <c r="S18" s="385">
        <f t="shared" si="4"/>
        <v>587.65248234962928</v>
      </c>
      <c r="T18" s="64"/>
      <c r="U18" s="27">
        <f t="shared" si="5"/>
        <v>4250.6972171956886</v>
      </c>
      <c r="V18" s="385">
        <f t="shared" si="6"/>
        <v>579.09663789889339</v>
      </c>
      <c r="W18" s="64"/>
      <c r="X18" s="27">
        <f t="shared" si="7"/>
        <v>4829.7938550945819</v>
      </c>
      <c r="Y18" s="1062">
        <f>[22]Sheet1!$C$68</f>
        <v>5.28E-2</v>
      </c>
    </row>
    <row r="19" spans="1:25" ht="25.5" x14ac:dyDescent="0.2">
      <c r="A19" s="28" t="s">
        <v>63</v>
      </c>
      <c r="B19" s="260" t="s">
        <v>313</v>
      </c>
      <c r="C19" s="27"/>
      <c r="D19" s="265"/>
      <c r="E19" s="20"/>
      <c r="F19" s="27"/>
      <c r="G19" s="385"/>
      <c r="H19" s="382"/>
      <c r="I19" s="27"/>
      <c r="J19" s="1066">
        <f>+'D-15'!L15*90%*'D-8'!Y19</f>
        <v>0</v>
      </c>
      <c r="K19" s="382"/>
      <c r="L19" s="27">
        <f t="shared" si="1"/>
        <v>0</v>
      </c>
      <c r="M19" s="385"/>
      <c r="N19" s="382"/>
      <c r="O19" s="27">
        <f t="shared" si="2"/>
        <v>0</v>
      </c>
      <c r="P19" s="385"/>
      <c r="Q19" s="64"/>
      <c r="R19" s="27">
        <f t="shared" si="3"/>
        <v>0</v>
      </c>
      <c r="S19" s="385">
        <f t="shared" si="4"/>
        <v>0</v>
      </c>
      <c r="T19" s="64"/>
      <c r="U19" s="27">
        <f t="shared" si="5"/>
        <v>0</v>
      </c>
      <c r="V19" s="385">
        <f t="shared" si="6"/>
        <v>0</v>
      </c>
      <c r="W19" s="64"/>
      <c r="X19" s="27">
        <f t="shared" si="7"/>
        <v>0</v>
      </c>
      <c r="Y19" s="1062">
        <f>[22]Sheet1!$C$70</f>
        <v>5.28E-2</v>
      </c>
    </row>
    <row r="20" spans="1:25" ht="25.5" x14ac:dyDescent="0.2">
      <c r="A20" s="28" t="s">
        <v>64</v>
      </c>
      <c r="B20" s="260" t="s">
        <v>314</v>
      </c>
      <c r="C20" s="27"/>
      <c r="D20" s="265"/>
      <c r="E20" s="20"/>
      <c r="F20" s="27"/>
      <c r="G20" s="385"/>
      <c r="H20" s="382"/>
      <c r="I20" s="27"/>
      <c r="J20" s="1066">
        <f>+'D-15'!L16*90%*'D-8'!Y20</f>
        <v>0</v>
      </c>
      <c r="K20" s="382"/>
      <c r="L20" s="27">
        <f t="shared" si="1"/>
        <v>0</v>
      </c>
      <c r="M20" s="385"/>
      <c r="N20" s="382"/>
      <c r="O20" s="27">
        <f t="shared" si="2"/>
        <v>0</v>
      </c>
      <c r="P20" s="385"/>
      <c r="Q20" s="64"/>
      <c r="R20" s="27">
        <f t="shared" si="3"/>
        <v>0</v>
      </c>
      <c r="S20" s="385">
        <f t="shared" si="4"/>
        <v>0</v>
      </c>
      <c r="T20" s="64"/>
      <c r="U20" s="27">
        <f t="shared" si="5"/>
        <v>0</v>
      </c>
      <c r="V20" s="385">
        <f t="shared" si="6"/>
        <v>0</v>
      </c>
      <c r="W20" s="64"/>
      <c r="X20" s="27">
        <f t="shared" si="7"/>
        <v>0</v>
      </c>
      <c r="Y20" s="1062">
        <f>[22]Sheet1!$C$72</f>
        <v>5.28E-2</v>
      </c>
    </row>
    <row r="21" spans="1:25" ht="25.5" x14ac:dyDescent="0.2">
      <c r="A21" s="28" t="s">
        <v>65</v>
      </c>
      <c r="B21" s="260" t="s">
        <v>564</v>
      </c>
      <c r="C21" s="27"/>
      <c r="D21" s="265"/>
      <c r="E21" s="20"/>
      <c r="F21" s="27"/>
      <c r="G21" s="385"/>
      <c r="H21" s="382"/>
      <c r="I21" s="27"/>
      <c r="J21" s="1066">
        <f>+'D-15'!L17*90%*'D-8'!Y21</f>
        <v>0</v>
      </c>
      <c r="K21" s="382"/>
      <c r="L21" s="27">
        <f t="shared" si="1"/>
        <v>0</v>
      </c>
      <c r="M21" s="385"/>
      <c r="N21" s="382"/>
      <c r="O21" s="27">
        <f t="shared" si="2"/>
        <v>0</v>
      </c>
      <c r="P21" s="385"/>
      <c r="Q21" s="64"/>
      <c r="R21" s="27">
        <f t="shared" si="3"/>
        <v>0</v>
      </c>
      <c r="S21" s="385">
        <f t="shared" si="4"/>
        <v>0</v>
      </c>
      <c r="T21" s="64"/>
      <c r="U21" s="27">
        <f t="shared" si="5"/>
        <v>0</v>
      </c>
      <c r="V21" s="385">
        <f t="shared" si="6"/>
        <v>0</v>
      </c>
      <c r="W21" s="64"/>
      <c r="X21" s="27">
        <f t="shared" si="7"/>
        <v>0</v>
      </c>
      <c r="Y21" s="1061"/>
    </row>
    <row r="22" spans="1:25" ht="25.5" x14ac:dyDescent="0.2">
      <c r="A22" s="28" t="s">
        <v>66</v>
      </c>
      <c r="B22" s="260" t="s">
        <v>454</v>
      </c>
      <c r="C22" s="27"/>
      <c r="D22" s="265"/>
      <c r="E22" s="20"/>
      <c r="F22" s="27"/>
      <c r="G22" s="385"/>
      <c r="H22" s="382"/>
      <c r="I22" s="27"/>
      <c r="J22" s="1066"/>
      <c r="K22" s="382"/>
      <c r="L22" s="27">
        <f t="shared" si="1"/>
        <v>0</v>
      </c>
      <c r="M22" s="385"/>
      <c r="N22" s="382"/>
      <c r="O22" s="27">
        <f t="shared" si="2"/>
        <v>0</v>
      </c>
      <c r="P22" s="385"/>
      <c r="Q22" s="64"/>
      <c r="R22" s="27">
        <f t="shared" si="3"/>
        <v>0</v>
      </c>
      <c r="S22" s="385">
        <f t="shared" si="4"/>
        <v>0</v>
      </c>
      <c r="T22" s="64"/>
      <c r="U22" s="27">
        <f t="shared" si="5"/>
        <v>0</v>
      </c>
      <c r="V22" s="385">
        <f t="shared" si="6"/>
        <v>0</v>
      </c>
      <c r="W22" s="64"/>
      <c r="X22" s="27">
        <f t="shared" si="7"/>
        <v>0</v>
      </c>
      <c r="Y22" s="1061"/>
    </row>
    <row r="23" spans="1:25" x14ac:dyDescent="0.2">
      <c r="A23" s="28" t="s">
        <v>402</v>
      </c>
      <c r="B23" s="262" t="s">
        <v>84</v>
      </c>
      <c r="C23" s="27">
        <v>1.35</v>
      </c>
      <c r="D23" s="265">
        <f>'[20]Notes to P&amp; L'!$E$269/10^7</f>
        <v>0.191757974</v>
      </c>
      <c r="E23" s="20"/>
      <c r="F23" s="27">
        <f>D23-E23+C23</f>
        <v>1.541757974</v>
      </c>
      <c r="G23" s="385">
        <v>0.24</v>
      </c>
      <c r="H23" s="382"/>
      <c r="I23" s="27">
        <f t="shared" si="0"/>
        <v>1.781757974</v>
      </c>
      <c r="J23" s="1066">
        <v>0.26</v>
      </c>
      <c r="K23" s="382"/>
      <c r="L23" s="27">
        <f t="shared" si="1"/>
        <v>2.0417579740000003</v>
      </c>
      <c r="M23" s="385">
        <f>0.27</f>
        <v>0.27</v>
      </c>
      <c r="N23" s="382"/>
      <c r="O23" s="27">
        <f t="shared" si="2"/>
        <v>2.3117579740000003</v>
      </c>
      <c r="P23" s="385">
        <f>'[30]2.3'!$E$84-'[30]2.3'!$E$85</f>
        <v>0.37190170600960004</v>
      </c>
      <c r="Q23" s="64"/>
      <c r="R23" s="27">
        <f t="shared" si="3"/>
        <v>2.6836596800096002</v>
      </c>
      <c r="S23" s="385">
        <f t="shared" si="4"/>
        <v>0.36648705493068512</v>
      </c>
      <c r="T23" s="64"/>
      <c r="U23" s="27">
        <f t="shared" si="5"/>
        <v>3.0501467349402853</v>
      </c>
      <c r="V23" s="385">
        <f t="shared" si="6"/>
        <v>0.36115123770983704</v>
      </c>
      <c r="W23" s="64"/>
      <c r="X23" s="27">
        <f t="shared" si="7"/>
        <v>3.4112979726501225</v>
      </c>
      <c r="Y23" s="1062">
        <f>[22]Sheet1!$C$29</f>
        <v>3.3399999999999999E-2</v>
      </c>
    </row>
    <row r="24" spans="1:25" x14ac:dyDescent="0.2">
      <c r="A24" s="28" t="s">
        <v>404</v>
      </c>
      <c r="B24" s="262" t="s">
        <v>547</v>
      </c>
      <c r="C24" s="27">
        <v>0.21</v>
      </c>
      <c r="D24" s="265">
        <f>'[20]Notes to P&amp; L'!$E$270/10^7</f>
        <v>3.6878964E-2</v>
      </c>
      <c r="E24" s="20"/>
      <c r="F24" s="27">
        <f>D24-E24+C24</f>
        <v>0.24687896399999998</v>
      </c>
      <c r="G24" s="385">
        <v>0.06</v>
      </c>
      <c r="H24" s="382"/>
      <c r="I24" s="27">
        <f t="shared" si="0"/>
        <v>0.30687896399999998</v>
      </c>
      <c r="J24" s="1066">
        <v>7.0000000000000007E-2</v>
      </c>
      <c r="K24" s="382"/>
      <c r="L24" s="27">
        <f t="shared" si="1"/>
        <v>0.37687896399999998</v>
      </c>
      <c r="M24" s="385">
        <v>0.13</v>
      </c>
      <c r="N24" s="382"/>
      <c r="O24" s="27">
        <f t="shared" si="2"/>
        <v>0.50687896399999999</v>
      </c>
      <c r="P24" s="385">
        <f>'[30]2.3'!$F$84-'[30]2.3'!$F$85</f>
        <v>0.15780032771059996</v>
      </c>
      <c r="Q24" s="64"/>
      <c r="R24" s="27">
        <f t="shared" si="3"/>
        <v>0.66467929171059992</v>
      </c>
      <c r="S24" s="385">
        <f t="shared" si="4"/>
        <v>0.15550285582250575</v>
      </c>
      <c r="T24" s="64"/>
      <c r="U24" s="27">
        <f t="shared" si="5"/>
        <v>0.8201821475331057</v>
      </c>
      <c r="V24" s="385">
        <f t="shared" si="6"/>
        <v>0.15323883365630481</v>
      </c>
      <c r="W24" s="64"/>
      <c r="X24" s="27">
        <f t="shared" si="7"/>
        <v>0.97342098118941056</v>
      </c>
      <c r="Y24" s="1062">
        <f>[22]Sheet1!$C$29</f>
        <v>3.3399999999999999E-2</v>
      </c>
    </row>
    <row r="25" spans="1:25" x14ac:dyDescent="0.2">
      <c r="A25" s="28" t="s">
        <v>406</v>
      </c>
      <c r="B25" s="262" t="s">
        <v>74</v>
      </c>
      <c r="C25" s="27">
        <v>12.01</v>
      </c>
      <c r="D25" s="265">
        <f>1.19+0.27+0.03-0.03</f>
        <v>1.46</v>
      </c>
      <c r="E25" s="20"/>
      <c r="F25" s="27">
        <f>D25-E25+C25</f>
        <v>13.469999999999999</v>
      </c>
      <c r="G25" s="385">
        <f>1.58-0.2+0.07-0.01</f>
        <v>1.4400000000000002</v>
      </c>
      <c r="H25" s="382"/>
      <c r="I25" s="27">
        <f t="shared" si="0"/>
        <v>14.909999999999998</v>
      </c>
      <c r="J25" s="1066">
        <v>1.37</v>
      </c>
      <c r="K25" s="382"/>
      <c r="L25" s="27">
        <f t="shared" si="1"/>
        <v>16.279999999999998</v>
      </c>
      <c r="M25" s="385">
        <f>1.52-0.07</f>
        <v>1.45</v>
      </c>
      <c r="N25" s="382"/>
      <c r="O25" s="27">
        <f t="shared" si="2"/>
        <v>17.729999999999997</v>
      </c>
      <c r="P25" s="385">
        <f>'[30]2.3'!$I$84-'[30]2.3'!$I$85</f>
        <v>1.7309822669237998</v>
      </c>
      <c r="Q25" s="64"/>
      <c r="R25" s="27">
        <f t="shared" si="3"/>
        <v>19.460982266923796</v>
      </c>
      <c r="S25" s="385">
        <f t="shared" si="4"/>
        <v>1.7057802717521517</v>
      </c>
      <c r="T25" s="64"/>
      <c r="U25" s="27">
        <f t="shared" si="5"/>
        <v>21.166762538675947</v>
      </c>
      <c r="V25" s="385">
        <f t="shared" si="6"/>
        <v>1.6809452015183084</v>
      </c>
      <c r="W25" s="64"/>
      <c r="X25" s="27">
        <f t="shared" si="7"/>
        <v>22.847707740194256</v>
      </c>
      <c r="Y25" s="1062">
        <f>[22]Sheet1!$C$93</f>
        <v>5.28E-2</v>
      </c>
    </row>
    <row r="26" spans="1:25" x14ac:dyDescent="0.2">
      <c r="A26" s="28" t="s">
        <v>408</v>
      </c>
      <c r="B26" s="262" t="s">
        <v>548</v>
      </c>
      <c r="C26" s="27">
        <v>5.51</v>
      </c>
      <c r="D26" s="265">
        <f>0.6-0.02+0.03-0.03</f>
        <v>0.57999999999999996</v>
      </c>
      <c r="E26" s="20"/>
      <c r="F26" s="27">
        <f>D26-E26+C26</f>
        <v>6.09</v>
      </c>
      <c r="G26" s="385">
        <f>0.622-0.08+0.02-0.03</f>
        <v>0.53200000000000003</v>
      </c>
      <c r="H26" s="382"/>
      <c r="I26" s="27">
        <f t="shared" si="0"/>
        <v>6.6219999999999999</v>
      </c>
      <c r="J26" s="1066">
        <v>0.7</v>
      </c>
      <c r="K26" s="382"/>
      <c r="L26" s="27">
        <f t="shared" si="1"/>
        <v>7.3220000000000001</v>
      </c>
      <c r="M26" s="385">
        <f>0.9-0.16+0.05-0.02</f>
        <v>0.77</v>
      </c>
      <c r="N26" s="382"/>
      <c r="O26" s="27">
        <f t="shared" si="2"/>
        <v>8.0920000000000005</v>
      </c>
      <c r="P26" s="385">
        <f>'[30]2.3'!$J$84-'[30]2.3'!$J$85</f>
        <v>0.62576545204694012</v>
      </c>
      <c r="Q26" s="64"/>
      <c r="R26" s="27">
        <f t="shared" si="3"/>
        <v>8.7177654520469403</v>
      </c>
      <c r="S26" s="385">
        <f t="shared" si="4"/>
        <v>0.61665470712342474</v>
      </c>
      <c r="T26" s="64"/>
      <c r="U26" s="27">
        <f t="shared" si="5"/>
        <v>9.3344201591703655</v>
      </c>
      <c r="V26" s="385">
        <f t="shared" si="6"/>
        <v>0.60767660882140284</v>
      </c>
      <c r="W26" s="64"/>
      <c r="X26" s="27">
        <f t="shared" si="7"/>
        <v>9.9420967679917691</v>
      </c>
      <c r="Y26" s="1062">
        <f>[22]Sheet1!$C$78</f>
        <v>6.3299999999999995E-2</v>
      </c>
    </row>
    <row r="27" spans="1:25" x14ac:dyDescent="0.2">
      <c r="A27" s="28" t="s">
        <v>382</v>
      </c>
      <c r="B27" s="262" t="s">
        <v>27</v>
      </c>
      <c r="C27" s="27">
        <v>3.52</v>
      </c>
      <c r="D27" s="265">
        <f>0.6-0.06+0.01-0.02</f>
        <v>0.53</v>
      </c>
      <c r="E27" s="20"/>
      <c r="F27" s="27">
        <f>D27-E27+C27</f>
        <v>4.05</v>
      </c>
      <c r="G27" s="385">
        <f>0.63-0.09+0.02-0.017</f>
        <v>0.54300000000000004</v>
      </c>
      <c r="H27" s="382"/>
      <c r="I27" s="27">
        <f t="shared" si="0"/>
        <v>4.593</v>
      </c>
      <c r="J27" s="1066">
        <v>0.54</v>
      </c>
      <c r="K27" s="382"/>
      <c r="L27" s="27">
        <f t="shared" si="1"/>
        <v>5.133</v>
      </c>
      <c r="M27" s="385">
        <f>0.98-0.19+0.48</f>
        <v>1.27</v>
      </c>
      <c r="N27" s="382"/>
      <c r="O27" s="27">
        <f t="shared" si="2"/>
        <v>6.4030000000000005</v>
      </c>
      <c r="P27" s="385">
        <f>'[30]2.3'!$K$84-'[30]2.3'!$K$85</f>
        <v>1.0273132287052202</v>
      </c>
      <c r="Q27" s="64"/>
      <c r="R27" s="27">
        <f t="shared" si="3"/>
        <v>7.4303132287052209</v>
      </c>
      <c r="S27" s="385">
        <f t="shared" si="4"/>
        <v>1.012356204867183</v>
      </c>
      <c r="T27" s="64"/>
      <c r="U27" s="27">
        <f t="shared" si="5"/>
        <v>8.4426694335724033</v>
      </c>
      <c r="V27" s="385">
        <f t="shared" si="6"/>
        <v>0.99761694573404858</v>
      </c>
      <c r="W27" s="64"/>
      <c r="X27" s="27">
        <f t="shared" si="7"/>
        <v>9.4402863793064515</v>
      </c>
      <c r="Y27" s="1062">
        <f>[22]Sheet1!$C$79</f>
        <v>6.3299999999999995E-2</v>
      </c>
    </row>
    <row r="28" spans="1:25" ht="13.5" thickBot="1" x14ac:dyDescent="0.25">
      <c r="A28" s="72" t="s">
        <v>384</v>
      </c>
      <c r="B28" s="263" t="s">
        <v>261</v>
      </c>
      <c r="C28" s="349"/>
      <c r="D28" s="351"/>
      <c r="E28" s="30"/>
      <c r="F28" s="349"/>
      <c r="G28" s="386">
        <f>1.53+64.45</f>
        <v>65.98</v>
      </c>
      <c r="H28" s="383">
        <f>126.27-27.78</f>
        <v>98.49</v>
      </c>
      <c r="I28" s="349"/>
      <c r="J28" s="1067">
        <v>103.55</v>
      </c>
      <c r="K28" s="1068">
        <v>143.16999999999999</v>
      </c>
      <c r="L28" s="27"/>
      <c r="M28" s="385">
        <v>113.35</v>
      </c>
      <c r="N28" s="383">
        <v>202.8</v>
      </c>
      <c r="O28" s="27"/>
      <c r="P28" s="385">
        <f>192.7-2.72</f>
        <v>189.98</v>
      </c>
      <c r="Q28" s="522">
        <f>'[30]2.28 to 2.37'!$C$149</f>
        <v>241.21168239000002</v>
      </c>
      <c r="R28" s="27"/>
      <c r="S28" s="385">
        <f t="shared" si="4"/>
        <v>187.21401265616751</v>
      </c>
      <c r="T28" s="522">
        <f>'[31]chapter-4'!$C$65</f>
        <v>202.42897789438365</v>
      </c>
      <c r="U28" s="27"/>
      <c r="V28" s="385">
        <f t="shared" si="6"/>
        <v>184.48829631973709</v>
      </c>
      <c r="W28" s="522">
        <f>'[31]chapter-4'!$D$65</f>
        <v>223.09611644157548</v>
      </c>
      <c r="X28" s="27"/>
      <c r="Y28" s="1063"/>
    </row>
    <row r="29" spans="1:25" ht="13.5" thickBot="1" x14ac:dyDescent="0.25">
      <c r="A29" s="73"/>
      <c r="B29" s="264" t="s">
        <v>69</v>
      </c>
      <c r="C29" s="237">
        <f>SUM(C15:C28)</f>
        <v>2016.6299999999999</v>
      </c>
      <c r="D29" s="237">
        <f>SUM(D15:D28)</f>
        <v>354.21863693799997</v>
      </c>
      <c r="E29" s="237">
        <f>E28</f>
        <v>0</v>
      </c>
      <c r="F29" s="350">
        <f>SUM(F15:F28)</f>
        <v>2370.8486369380003</v>
      </c>
      <c r="G29" s="387">
        <f>SUM(G15:G28)</f>
        <v>500.99</v>
      </c>
      <c r="H29" s="388">
        <f>H28</f>
        <v>98.49</v>
      </c>
      <c r="I29" s="350">
        <f>SUM(I15:I27)</f>
        <v>2805.8586369379996</v>
      </c>
      <c r="J29" s="389">
        <f>SUM(J15:J28)</f>
        <v>597.91999999999996</v>
      </c>
      <c r="K29" s="506">
        <f>K28</f>
        <v>143.16999999999999</v>
      </c>
      <c r="L29" s="350">
        <f>SUM(L15:L27)</f>
        <v>3300.2286369379999</v>
      </c>
      <c r="M29" s="350">
        <f>SUM(M15:M28)</f>
        <v>732.98</v>
      </c>
      <c r="N29" s="506">
        <f>N28</f>
        <v>202.8</v>
      </c>
      <c r="O29" s="350">
        <f>SUM(O15:O28)</f>
        <v>3919.8586369379996</v>
      </c>
      <c r="P29" s="350">
        <f>SUM(P15:P28)</f>
        <v>994.74535236709346</v>
      </c>
      <c r="Q29" s="522">
        <f>Q28</f>
        <v>241.21168239000002</v>
      </c>
      <c r="R29" s="350">
        <f>SUM(R15:R28)</f>
        <v>4724.6239893050933</v>
      </c>
      <c r="S29" s="522">
        <f>'[31]chapter-4'!$C$64</f>
        <v>980.26249598756112</v>
      </c>
      <c r="T29" s="522">
        <f>T28</f>
        <v>202.42897789438365</v>
      </c>
      <c r="U29" s="27">
        <f t="shared" si="5"/>
        <v>5502.4575073982705</v>
      </c>
      <c r="V29" s="522">
        <f>'[31]chapter-4'!$D$64</f>
        <v>1138.5419594257173</v>
      </c>
      <c r="W29" s="522">
        <f>W28</f>
        <v>223.09611644157548</v>
      </c>
      <c r="X29" s="27">
        <f>V29-W29+U29</f>
        <v>6417.9033503824121</v>
      </c>
      <c r="Y29" s="1064"/>
    </row>
    <row r="30" spans="1:25" ht="15" x14ac:dyDescent="0.3">
      <c r="A30" s="7"/>
      <c r="B30" s="7"/>
      <c r="C30" s="76"/>
      <c r="D30" s="76"/>
      <c r="E30" s="76"/>
      <c r="F30" s="62">
        <v>2382.9</v>
      </c>
      <c r="G30" s="76">
        <f>500.97-G29</f>
        <v>-1.999999999998181E-2</v>
      </c>
      <c r="H30" s="536">
        <f>+G29-H29</f>
        <v>402.5</v>
      </c>
      <c r="I30" s="62">
        <f>2823.52+3.27</f>
        <v>2826.79</v>
      </c>
      <c r="J30" s="76">
        <v>597.91999999999996</v>
      </c>
      <c r="K30" s="523">
        <f>+J29-K29</f>
        <v>454.75</v>
      </c>
      <c r="M30" s="1055">
        <v>732.98</v>
      </c>
      <c r="N30" s="523">
        <f>+M29-N29</f>
        <v>530.18000000000006</v>
      </c>
      <c r="P30" s="1056">
        <f>'[30]2.28 to 2.37'!$C$148</f>
        <v>994.74271861097941</v>
      </c>
      <c r="Q30" s="523">
        <f>P29-Q28</f>
        <v>753.5336699770935</v>
      </c>
      <c r="R30" s="65">
        <f>'[30]2.3'!$N$88</f>
        <v>4724.6290411219998</v>
      </c>
      <c r="S30" s="65"/>
      <c r="T30" s="1057">
        <f>S29-T28</f>
        <v>777.83351809317742</v>
      </c>
      <c r="V30" s="65"/>
      <c r="W30" s="1057">
        <f>V29-W28</f>
        <v>915.44584298414179</v>
      </c>
    </row>
    <row r="31" spans="1:25" x14ac:dyDescent="0.2">
      <c r="C31" s="288"/>
      <c r="D31" s="288"/>
      <c r="E31" s="288"/>
      <c r="F31" s="76">
        <f>+F30-F29</f>
        <v>12.051363061999837</v>
      </c>
      <c r="H31" s="505"/>
      <c r="I31" s="76">
        <f>+I30-I29</f>
        <v>20.931363062000401</v>
      </c>
      <c r="J31" s="505">
        <f>J30-J29</f>
        <v>0</v>
      </c>
      <c r="K31" s="505">
        <f>429.87-K30</f>
        <v>-24.879999999999995</v>
      </c>
      <c r="M31" s="505">
        <f>M30-M29</f>
        <v>0</v>
      </c>
      <c r="P31" s="505"/>
    </row>
    <row r="32" spans="1:25" ht="15" x14ac:dyDescent="0.3">
      <c r="M32" s="503"/>
    </row>
    <row r="34" spans="10:11" x14ac:dyDescent="0.2">
      <c r="J34" s="62">
        <f>494.37+4.84</f>
        <v>499.21</v>
      </c>
      <c r="K34" s="505">
        <f>454+K29</f>
        <v>597.16999999999996</v>
      </c>
    </row>
    <row r="35" spans="10:11" x14ac:dyDescent="0.2">
      <c r="J35" s="76">
        <f>J30-J34</f>
        <v>98.70999999999998</v>
      </c>
    </row>
  </sheetData>
  <customSheetViews>
    <customSheetView guid="{80837D84-6D11-4A5F-87D7-272A542EF21A}" scale="90" showGridLines="0" showRuler="0" topLeftCell="A12">
      <selection activeCell="O29" sqref="O29"/>
      <pageMargins left="0.5" right="0.5" top="0.5" bottom="0.5" header="0.5" footer="0.5"/>
      <printOptions horizontalCentered="1" gridLines="1"/>
      <pageSetup paperSize="9" scale="65" orientation="landscape" horizontalDpi="180" verticalDpi="180" r:id="rId1"/>
      <headerFooter alignWithMargins="0"/>
    </customSheetView>
    <customSheetView guid="{5FF41722-DC20-49D9-9ED5-FEC8C9404ECB}" scale="90" showPageBreaks="1" showGridLines="0" printArea="1" showRuler="0" topLeftCell="A12">
      <selection activeCell="O29" sqref="O29"/>
      <pageMargins left="0.5" right="0.5" top="0.5" bottom="0.5" header="0.5" footer="0.5"/>
      <printOptions horizontalCentered="1" gridLines="1"/>
      <pageSetup paperSize="9" scale="65" orientation="landscape" horizontalDpi="180" verticalDpi="180" r:id="rId2"/>
      <headerFooter alignWithMargins="0"/>
    </customSheetView>
    <customSheetView guid="{23A957A0-E704-4A72-A26E-A4FA7FC4849F}" scale="90" showPageBreaks="1" showGridLines="0" printArea="1" showRuler="0" topLeftCell="A12">
      <selection activeCell="O29" sqref="O29"/>
      <pageMargins left="0.5" right="0.5" top="0.5" bottom="0.5" header="0.5" footer="0.5"/>
      <printOptions horizontalCentered="1" gridLines="1"/>
      <pageSetup paperSize="9" scale="65" orientation="landscape" horizontalDpi="180" verticalDpi="180" r:id="rId3"/>
      <headerFooter alignWithMargins="0"/>
    </customSheetView>
  </customSheetViews>
  <mergeCells count="34">
    <mergeCell ref="V10:X10"/>
    <mergeCell ref="V11:V12"/>
    <mergeCell ref="W11:W12"/>
    <mergeCell ref="X11:X12"/>
    <mergeCell ref="Y11:Y12"/>
    <mergeCell ref="J10:L10"/>
    <mergeCell ref="J11:J12"/>
    <mergeCell ref="K11:K12"/>
    <mergeCell ref="L11:L12"/>
    <mergeCell ref="P10:R10"/>
    <mergeCell ref="S10:U10"/>
    <mergeCell ref="S11:S12"/>
    <mergeCell ref="O11:O12"/>
    <mergeCell ref="G11:G12"/>
    <mergeCell ref="A3:B3"/>
    <mergeCell ref="A8:B9"/>
    <mergeCell ref="A10:A12"/>
    <mergeCell ref="B10:B12"/>
    <mergeCell ref="D11:D12"/>
    <mergeCell ref="C11:C12"/>
    <mergeCell ref="D10:F10"/>
    <mergeCell ref="E11:E12"/>
    <mergeCell ref="F11:F12"/>
    <mergeCell ref="I11:I12"/>
    <mergeCell ref="M10:O10"/>
    <mergeCell ref="M11:M12"/>
    <mergeCell ref="G10:I10"/>
    <mergeCell ref="U11:U12"/>
    <mergeCell ref="N11:N12"/>
    <mergeCell ref="H11:H12"/>
    <mergeCell ref="T11:T12"/>
    <mergeCell ref="P11:P12"/>
    <mergeCell ref="Q11:Q12"/>
    <mergeCell ref="R11:R12"/>
  </mergeCells>
  <phoneticPr fontId="0" type="noConversion"/>
  <printOptions horizontalCentered="1" gridLines="1"/>
  <pageMargins left="0.51181102362204722" right="0.51181102362204722" top="0.51181102362204722" bottom="0.51181102362204722" header="0.51181102362204722" footer="0.51181102362204722"/>
  <pageSetup paperSize="9" orientation="landscape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50"/>
    <pageSetUpPr fitToPage="1"/>
  </sheetPr>
  <dimension ref="A1:BF104"/>
  <sheetViews>
    <sheetView showGridLines="0" zoomScale="85" zoomScaleNormal="85" workbookViewId="0">
      <pane xSplit="2" ySplit="8" topLeftCell="AH71" activePane="bottomRight" state="frozen"/>
      <selection pane="topRight" activeCell="O1" sqref="O1"/>
      <selection pane="bottomLeft" activeCell="A9" sqref="A9"/>
      <selection pane="bottomRight" activeCell="B1" sqref="A1:BC100"/>
    </sheetView>
  </sheetViews>
  <sheetFormatPr defaultRowHeight="12.75" x14ac:dyDescent="0.2"/>
  <cols>
    <col min="1" max="1" width="3.28515625" customWidth="1"/>
    <col min="2" max="2" width="40.28515625" customWidth="1"/>
    <col min="3" max="3" width="7.7109375" hidden="1" customWidth="1"/>
    <col min="4" max="4" width="12.85546875" hidden="1" customWidth="1"/>
    <col min="5" max="5" width="12.5703125" hidden="1" customWidth="1"/>
    <col min="6" max="6" width="9.140625" hidden="1" customWidth="1"/>
    <col min="7" max="7" width="14.28515625" hidden="1" customWidth="1"/>
    <col min="8" max="8" width="9.140625" hidden="1" customWidth="1"/>
    <col min="9" max="9" width="9.42578125" hidden="1" customWidth="1"/>
    <col min="10" max="10" width="15.85546875" hidden="1" customWidth="1"/>
    <col min="11" max="11" width="12.140625" hidden="1" customWidth="1"/>
    <col min="12" max="14" width="9.140625" hidden="1" customWidth="1"/>
    <col min="15" max="15" width="10.85546875" hidden="1" customWidth="1"/>
    <col min="16" max="16" width="9.140625" hidden="1" customWidth="1"/>
    <col min="17" max="17" width="13" style="364" hidden="1" customWidth="1"/>
    <col min="18" max="18" width="12.5703125" hidden="1" customWidth="1"/>
    <col min="19" max="19" width="13.7109375" hidden="1" customWidth="1"/>
    <col min="20" max="20" width="11.28515625" hidden="1" customWidth="1"/>
    <col min="21" max="21" width="9.140625" hidden="1" customWidth="1"/>
    <col min="22" max="22" width="13.5703125" hidden="1" customWidth="1"/>
    <col min="23" max="23" width="8.28515625" style="687" hidden="1" customWidth="1"/>
    <col min="24" max="24" width="9" style="687" hidden="1" customWidth="1"/>
    <col min="25" max="25" width="13.140625" style="687" hidden="1" customWidth="1"/>
    <col min="26" max="26" width="11.28515625" style="687" hidden="1" customWidth="1"/>
    <col min="27" max="27" width="12.7109375" style="687" hidden="1" customWidth="1"/>
    <col min="28" max="28" width="9.85546875" style="687" hidden="1" customWidth="1"/>
    <col min="29" max="33" width="9.140625" style="1095" hidden="1" customWidth="1"/>
    <col min="34" max="34" width="12" style="1095" customWidth="1"/>
    <col min="35" max="35" width="11.85546875" style="687" customWidth="1"/>
    <col min="36" max="36" width="10.42578125" style="687" customWidth="1"/>
    <col min="37" max="37" width="14.7109375" style="687" customWidth="1"/>
    <col min="38" max="39" width="15" style="687" customWidth="1"/>
    <col min="40" max="40" width="11.42578125" style="687" customWidth="1"/>
    <col min="41" max="52" width="15" style="687" customWidth="1"/>
  </cols>
  <sheetData>
    <row r="1" spans="1:55" s="62" customFormat="1" x14ac:dyDescent="0.2">
      <c r="A1" s="5" t="s">
        <v>499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87"/>
      <c r="X1" s="687"/>
      <c r="Y1" s="687"/>
      <c r="Z1" s="687"/>
      <c r="AA1" s="687"/>
      <c r="AB1" s="687"/>
      <c r="AC1" s="1095"/>
      <c r="AD1" s="1095"/>
      <c r="AE1" s="1095"/>
      <c r="AF1" s="1095"/>
      <c r="AG1" s="1095"/>
      <c r="AH1" s="1095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C1" s="1774" t="s">
        <v>603</v>
      </c>
    </row>
    <row r="2" spans="1:55" s="62" customFormat="1" ht="25.5" customHeight="1" x14ac:dyDescent="0.2">
      <c r="A2" s="16" t="s">
        <v>455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687"/>
      <c r="X2" s="687"/>
      <c r="Y2" s="687"/>
      <c r="Z2" s="687"/>
      <c r="AA2" s="687"/>
      <c r="AB2" s="687"/>
      <c r="AC2" s="1095"/>
      <c r="AD2" s="1095"/>
      <c r="AE2" s="1095"/>
      <c r="AF2" s="1095"/>
      <c r="AG2" s="1095"/>
      <c r="AH2" s="1095"/>
      <c r="AI2" s="687"/>
      <c r="AJ2" s="687"/>
      <c r="AK2" s="687">
        <f>486.51-486.94</f>
        <v>-0.43000000000000682</v>
      </c>
      <c r="AL2" s="687"/>
      <c r="AM2" s="687">
        <f>809.37-809.79</f>
        <v>-0.41999999999995907</v>
      </c>
      <c r="AN2" s="687"/>
      <c r="AO2" s="687"/>
      <c r="AP2" s="687"/>
      <c r="AQ2" s="687"/>
      <c r="AR2" s="687"/>
      <c r="AS2" s="687"/>
      <c r="AT2" s="687"/>
      <c r="AU2" s="687"/>
      <c r="AV2" s="687"/>
      <c r="AW2" s="687"/>
      <c r="AX2" s="687"/>
      <c r="AY2" s="687"/>
      <c r="AZ2" s="687"/>
    </row>
    <row r="3" spans="1:55" s="62" customFormat="1" x14ac:dyDescent="0.2">
      <c r="A3" s="1938"/>
      <c r="B3" s="193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687"/>
      <c r="X3" s="687"/>
      <c r="Y3" s="687"/>
      <c r="Z3" s="687"/>
      <c r="AA3" s="687"/>
      <c r="AB3" s="687"/>
      <c r="AC3" s="1095"/>
      <c r="AD3" s="1095"/>
      <c r="AE3" s="1095"/>
      <c r="AF3" s="1095"/>
      <c r="AG3" s="1095"/>
      <c r="AH3" s="1095"/>
      <c r="AI3" s="687"/>
      <c r="AJ3" s="687"/>
      <c r="AK3" s="687"/>
      <c r="AL3" s="687"/>
      <c r="AM3" s="687"/>
      <c r="AN3" s="687"/>
      <c r="AO3" s="687"/>
      <c r="AP3" s="687"/>
      <c r="AQ3" s="687"/>
      <c r="AR3" s="687"/>
      <c r="AS3" s="687"/>
      <c r="AT3" s="687"/>
      <c r="AU3" s="687"/>
      <c r="AV3" s="687"/>
      <c r="AW3" s="687"/>
      <c r="AX3" s="687"/>
      <c r="AY3" s="687"/>
      <c r="AZ3" s="687"/>
    </row>
    <row r="4" spans="1:55" s="62" customFormat="1" ht="13.5" thickBot="1" x14ac:dyDescent="0.25">
      <c r="A4" s="5"/>
      <c r="B4" s="16"/>
      <c r="C4" s="16"/>
      <c r="D4" s="16"/>
      <c r="E4" s="16" t="s">
        <v>603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58"/>
      <c r="V4" s="16"/>
      <c r="W4" s="687"/>
      <c r="X4" s="687"/>
      <c r="Y4" s="687"/>
      <c r="Z4" s="687"/>
      <c r="AA4" s="687"/>
      <c r="AB4" s="687"/>
      <c r="AC4" s="1095"/>
      <c r="AD4" s="1095"/>
      <c r="AE4" s="1095"/>
      <c r="AF4" s="1095"/>
      <c r="AG4" s="1095"/>
      <c r="AH4" s="1095"/>
      <c r="AI4" s="687"/>
      <c r="AJ4" s="687"/>
      <c r="AK4" s="687"/>
      <c r="AL4" s="687"/>
      <c r="AM4" s="687"/>
      <c r="AN4" s="687"/>
      <c r="AO4" s="687"/>
      <c r="AP4" s="687"/>
      <c r="AQ4" s="687"/>
      <c r="AR4" s="687"/>
      <c r="AS4" s="687"/>
      <c r="AT4" s="687"/>
      <c r="AU4" s="687"/>
      <c r="AV4" s="687"/>
      <c r="AW4" s="687"/>
      <c r="AX4" s="687"/>
      <c r="AY4" s="687"/>
      <c r="AZ4" s="687"/>
    </row>
    <row r="5" spans="1:55" s="62" customFormat="1" ht="13.5" thickBot="1" x14ac:dyDescent="0.25">
      <c r="A5" s="5"/>
      <c r="B5" s="83" t="s">
        <v>109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687"/>
      <c r="X5" s="687"/>
      <c r="Y5" s="687"/>
      <c r="Z5" s="687"/>
      <c r="AA5" s="687"/>
      <c r="AB5" s="687"/>
      <c r="AC5" s="1095"/>
      <c r="AD5" s="1095"/>
      <c r="AE5" s="1095"/>
      <c r="AF5" s="1095"/>
      <c r="AG5" s="1095"/>
      <c r="AH5" s="1095"/>
      <c r="AI5" s="687"/>
      <c r="AJ5" s="687"/>
      <c r="AK5" s="687"/>
      <c r="AL5" s="687"/>
      <c r="AM5" s="687"/>
      <c r="AN5" s="687"/>
      <c r="AO5" s="687"/>
      <c r="AP5" s="687"/>
      <c r="AQ5" s="687"/>
      <c r="AR5" s="687"/>
      <c r="AS5" s="687"/>
      <c r="AT5" s="687"/>
      <c r="AU5" s="687"/>
      <c r="AV5" s="687"/>
      <c r="AW5" s="687"/>
      <c r="AX5" s="687"/>
      <c r="AY5" s="687"/>
      <c r="AZ5" s="687"/>
    </row>
    <row r="6" spans="1:55" s="62" customFormat="1" ht="13.5" thickBot="1" x14ac:dyDescent="0.25">
      <c r="A6" s="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687"/>
      <c r="X6" s="687"/>
      <c r="Y6" s="687"/>
      <c r="Z6" s="687"/>
      <c r="AA6" s="687"/>
      <c r="AB6" s="687"/>
      <c r="AC6" s="1095"/>
      <c r="AD6" s="1095"/>
      <c r="AE6" s="1095"/>
      <c r="AF6" s="1095"/>
      <c r="AG6" s="1095"/>
      <c r="AH6" s="1095"/>
      <c r="AI6" s="687"/>
      <c r="AJ6" s="687"/>
      <c r="AK6" s="687"/>
      <c r="AL6" s="687"/>
      <c r="AM6" s="687"/>
      <c r="AN6" s="687"/>
      <c r="AO6" s="687"/>
      <c r="AP6" s="687"/>
      <c r="AQ6" s="687"/>
      <c r="AR6" s="687"/>
      <c r="AS6" s="687"/>
      <c r="AT6" s="687"/>
      <c r="AU6" s="687"/>
      <c r="AV6" s="687"/>
      <c r="AW6" s="687"/>
      <c r="AX6" s="687"/>
      <c r="AY6" s="687"/>
      <c r="AZ6" s="687"/>
    </row>
    <row r="7" spans="1:55" s="918" customFormat="1" ht="35.25" customHeight="1" x14ac:dyDescent="0.2">
      <c r="A7" s="1939"/>
      <c r="B7" s="1936" t="s">
        <v>213</v>
      </c>
      <c r="C7" s="911"/>
      <c r="D7" s="912" t="s">
        <v>268</v>
      </c>
      <c r="E7" s="913" t="s">
        <v>629</v>
      </c>
      <c r="F7" s="914"/>
      <c r="G7" s="914"/>
      <c r="H7" s="914"/>
      <c r="I7" s="915"/>
      <c r="J7" s="916"/>
      <c r="K7" s="916" t="s">
        <v>631</v>
      </c>
      <c r="L7" s="916"/>
      <c r="M7" s="916"/>
      <c r="N7" s="916"/>
      <c r="O7" s="916"/>
      <c r="P7" s="916"/>
      <c r="Q7" s="917" t="s">
        <v>763</v>
      </c>
      <c r="R7" s="916"/>
      <c r="S7" s="916"/>
      <c r="T7" s="916"/>
      <c r="U7" s="916"/>
      <c r="V7" s="916"/>
      <c r="W7" s="1933" t="s">
        <v>764</v>
      </c>
      <c r="X7" s="1934"/>
      <c r="Y7" s="1934"/>
      <c r="Z7" s="1934"/>
      <c r="AA7" s="1934"/>
      <c r="AB7" s="1935"/>
      <c r="AC7" s="1942" t="s">
        <v>765</v>
      </c>
      <c r="AD7" s="1943"/>
      <c r="AE7" s="1943"/>
      <c r="AF7" s="1943"/>
      <c r="AG7" s="1943"/>
      <c r="AH7" s="1944"/>
      <c r="AI7" s="1933" t="s">
        <v>875</v>
      </c>
      <c r="AJ7" s="1934"/>
      <c r="AK7" s="1934"/>
      <c r="AL7" s="1934"/>
      <c r="AM7" s="1934"/>
      <c r="AN7" s="1935"/>
      <c r="AO7" s="1933" t="s">
        <v>876</v>
      </c>
      <c r="AP7" s="1934"/>
      <c r="AQ7" s="1934"/>
      <c r="AR7" s="1934"/>
      <c r="AS7" s="1934"/>
      <c r="AT7" s="1935"/>
      <c r="AU7" s="1933" t="s">
        <v>877</v>
      </c>
      <c r="AV7" s="1934"/>
      <c r="AW7" s="1934"/>
      <c r="AX7" s="1934"/>
      <c r="AY7" s="1934"/>
      <c r="AZ7" s="1935"/>
      <c r="BA7" s="1145"/>
      <c r="BB7" s="1145"/>
      <c r="BC7" s="1145"/>
    </row>
    <row r="8" spans="1:55" s="918" customFormat="1" ht="51.75" thickBot="1" x14ac:dyDescent="0.25">
      <c r="A8" s="1940"/>
      <c r="B8" s="1937"/>
      <c r="C8" s="919"/>
      <c r="D8" s="920" t="s">
        <v>212</v>
      </c>
      <c r="E8" s="921" t="s">
        <v>214</v>
      </c>
      <c r="F8" s="922" t="s">
        <v>215</v>
      </c>
      <c r="G8" s="922" t="s">
        <v>337</v>
      </c>
      <c r="H8" s="922" t="s">
        <v>210</v>
      </c>
      <c r="I8" s="923" t="s">
        <v>211</v>
      </c>
      <c r="J8" s="922" t="s">
        <v>212</v>
      </c>
      <c r="K8" s="922" t="s">
        <v>214</v>
      </c>
      <c r="L8" s="922" t="s">
        <v>215</v>
      </c>
      <c r="M8" s="922" t="s">
        <v>337</v>
      </c>
      <c r="N8" s="922" t="s">
        <v>210</v>
      </c>
      <c r="O8" s="922" t="s">
        <v>211</v>
      </c>
      <c r="P8" s="922" t="s">
        <v>212</v>
      </c>
      <c r="Q8" s="924" t="s">
        <v>214</v>
      </c>
      <c r="R8" s="922" t="s">
        <v>215</v>
      </c>
      <c r="S8" s="922" t="s">
        <v>337</v>
      </c>
      <c r="T8" s="922" t="s">
        <v>210</v>
      </c>
      <c r="U8" s="922" t="s">
        <v>211</v>
      </c>
      <c r="V8" s="922" t="s">
        <v>212</v>
      </c>
      <c r="W8" s="925" t="s">
        <v>214</v>
      </c>
      <c r="X8" s="925" t="s">
        <v>215</v>
      </c>
      <c r="Y8" s="925" t="s">
        <v>337</v>
      </c>
      <c r="Z8" s="925" t="s">
        <v>210</v>
      </c>
      <c r="AA8" s="925" t="s">
        <v>211</v>
      </c>
      <c r="AB8" s="925" t="s">
        <v>212</v>
      </c>
      <c r="AC8" s="1096" t="s">
        <v>214</v>
      </c>
      <c r="AD8" s="1096" t="s">
        <v>215</v>
      </c>
      <c r="AE8" s="1096" t="s">
        <v>337</v>
      </c>
      <c r="AF8" s="1096" t="s">
        <v>210</v>
      </c>
      <c r="AG8" s="1096" t="s">
        <v>211</v>
      </c>
      <c r="AH8" s="1096" t="s">
        <v>212</v>
      </c>
      <c r="AI8" s="925" t="s">
        <v>214</v>
      </c>
      <c r="AJ8" s="925" t="s">
        <v>215</v>
      </c>
      <c r="AK8" s="925" t="s">
        <v>1180</v>
      </c>
      <c r="AL8" s="925" t="s">
        <v>210</v>
      </c>
      <c r="AM8" s="925" t="s">
        <v>211</v>
      </c>
      <c r="AN8" s="925" t="s">
        <v>212</v>
      </c>
      <c r="AO8" s="925" t="s">
        <v>214</v>
      </c>
      <c r="AP8" s="925" t="s">
        <v>215</v>
      </c>
      <c r="AQ8" s="925" t="s">
        <v>337</v>
      </c>
      <c r="AR8" s="925" t="s">
        <v>210</v>
      </c>
      <c r="AS8" s="1431" t="s">
        <v>211</v>
      </c>
      <c r="AT8" s="1431" t="s">
        <v>212</v>
      </c>
      <c r="AU8" s="1431" t="s">
        <v>214</v>
      </c>
      <c r="AV8" s="1431" t="s">
        <v>215</v>
      </c>
      <c r="AW8" s="1431" t="s">
        <v>337</v>
      </c>
      <c r="AX8" s="1431" t="s">
        <v>210</v>
      </c>
      <c r="AY8" s="1431" t="s">
        <v>211</v>
      </c>
      <c r="AZ8" s="925" t="s">
        <v>212</v>
      </c>
      <c r="BA8" s="1151" t="s">
        <v>1113</v>
      </c>
      <c r="BB8" s="1151" t="s">
        <v>1114</v>
      </c>
      <c r="BC8" s="1151" t="s">
        <v>1118</v>
      </c>
    </row>
    <row r="9" spans="1:55" s="17" customFormat="1" x14ac:dyDescent="0.2">
      <c r="A9" s="188"/>
      <c r="B9" s="192" t="s">
        <v>457</v>
      </c>
      <c r="C9" s="242"/>
      <c r="D9" s="238"/>
      <c r="E9" s="238"/>
      <c r="F9" s="238"/>
      <c r="G9" s="238"/>
      <c r="H9" s="238"/>
      <c r="I9" s="414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696"/>
      <c r="X9" s="696"/>
      <c r="Y9" s="696"/>
      <c r="Z9" s="696"/>
      <c r="AA9" s="696"/>
      <c r="AB9" s="696"/>
      <c r="AC9" s="1090"/>
      <c r="AD9" s="1090"/>
      <c r="AE9" s="1090"/>
      <c r="AF9" s="1090"/>
      <c r="AG9" s="1090"/>
      <c r="AH9" s="1090"/>
      <c r="AI9" s="696"/>
      <c r="AJ9" s="696"/>
      <c r="AK9" s="696"/>
      <c r="AL9" s="696"/>
      <c r="AM9" s="696"/>
      <c r="AN9" s="696"/>
      <c r="AO9" s="696"/>
      <c r="AP9" s="696"/>
      <c r="AQ9" s="696"/>
      <c r="AR9" s="696"/>
      <c r="AS9" s="696"/>
      <c r="AT9" s="696"/>
      <c r="AU9" s="696"/>
      <c r="AV9" s="696"/>
      <c r="AW9" s="696"/>
      <c r="AX9" s="696"/>
      <c r="AY9" s="696"/>
      <c r="AZ9" s="696"/>
      <c r="BA9" s="238"/>
      <c r="BB9" s="238"/>
      <c r="BC9" s="1156"/>
    </row>
    <row r="10" spans="1:55" s="17" customFormat="1" ht="24.75" customHeight="1" x14ac:dyDescent="0.2">
      <c r="A10" s="18">
        <v>1</v>
      </c>
      <c r="B10" s="430" t="s">
        <v>825</v>
      </c>
      <c r="C10" s="243">
        <v>1.43E-2</v>
      </c>
      <c r="D10" s="48">
        <v>9.9920072216264089E-15</v>
      </c>
      <c r="E10" s="239">
        <f>D10</f>
        <v>9.9920072216264089E-15</v>
      </c>
      <c r="F10" s="238">
        <v>284.52</v>
      </c>
      <c r="G10" s="21">
        <f>E10+F10</f>
        <v>284.52</v>
      </c>
      <c r="H10" s="21"/>
      <c r="I10" s="507">
        <v>30.84</v>
      </c>
      <c r="J10" s="21">
        <f>136.48</f>
        <v>136.47999999999999</v>
      </c>
      <c r="K10" s="238">
        <f t="shared" ref="K10:K38" si="0">J10</f>
        <v>136.47999999999999</v>
      </c>
      <c r="L10" s="238"/>
      <c r="M10" s="21">
        <f t="shared" ref="M10:M39" si="1">K10+L10</f>
        <v>136.47999999999999</v>
      </c>
      <c r="N10" s="21">
        <v>0</v>
      </c>
      <c r="O10" s="239">
        <f>[23]Sheet9!$L$70+[23]Sheet9!$L$71</f>
        <v>44.94</v>
      </c>
      <c r="P10" s="21">
        <f t="shared" ref="P10:P39" si="2">M10-N10</f>
        <v>136.47999999999999</v>
      </c>
      <c r="Q10" s="239">
        <f>P10</f>
        <v>136.47999999999999</v>
      </c>
      <c r="R10" s="238">
        <v>2.0299999999999998</v>
      </c>
      <c r="S10" s="21">
        <f>Q10+R10</f>
        <v>138.51</v>
      </c>
      <c r="T10" s="21">
        <v>0</v>
      </c>
      <c r="U10" s="239">
        <v>17.7</v>
      </c>
      <c r="V10" s="21">
        <f t="shared" ref="V10:V38" si="3">S10-T10</f>
        <v>138.51</v>
      </c>
      <c r="W10" s="696">
        <v>138.51</v>
      </c>
      <c r="X10" s="696">
        <v>0</v>
      </c>
      <c r="Y10" s="696">
        <f>W10+X10</f>
        <v>138.51</v>
      </c>
      <c r="Z10" s="696">
        <v>13.85</v>
      </c>
      <c r="AA10" s="707">
        <v>17.75</v>
      </c>
      <c r="AB10" s="696">
        <f>Y10-Z10</f>
        <v>124.66</v>
      </c>
      <c r="AC10" s="1090">
        <v>124.66</v>
      </c>
      <c r="AD10" s="1090"/>
      <c r="AE10" s="1090">
        <f>AC10+AD10</f>
        <v>124.66</v>
      </c>
      <c r="AF10" s="1090">
        <v>16.93</v>
      </c>
      <c r="AG10" s="1090">
        <f>[24]D9!$G$8</f>
        <v>14.3</v>
      </c>
      <c r="AH10" s="1090">
        <f>AE10-AF10</f>
        <v>107.72999999999999</v>
      </c>
      <c r="AI10" s="696">
        <f>AH10</f>
        <v>107.72999999999999</v>
      </c>
      <c r="AJ10" s="696"/>
      <c r="AK10" s="696">
        <f>AI10+AJ10</f>
        <v>107.72999999999999</v>
      </c>
      <c r="AL10" s="696">
        <v>15.39</v>
      </c>
      <c r="AM10" s="707">
        <v>13.43</v>
      </c>
      <c r="AN10" s="696">
        <f>AK10-AL10</f>
        <v>92.339999999999989</v>
      </c>
      <c r="AO10" s="696">
        <f>AN10</f>
        <v>92.339999999999989</v>
      </c>
      <c r="AP10" s="696"/>
      <c r="AQ10" s="696">
        <f>AO10+AP10</f>
        <v>92.339999999999989</v>
      </c>
      <c r="AR10" s="696">
        <v>15.39</v>
      </c>
      <c r="AS10" s="707">
        <v>10.16</v>
      </c>
      <c r="AT10" s="696">
        <f>AQ10-AR10</f>
        <v>76.949999999999989</v>
      </c>
      <c r="AU10" s="696">
        <f>AT10</f>
        <v>76.949999999999989</v>
      </c>
      <c r="AV10" s="696"/>
      <c r="AW10" s="696">
        <f>AU10+AV10</f>
        <v>76.949999999999989</v>
      </c>
      <c r="AX10" s="696">
        <v>15.39</v>
      </c>
      <c r="AY10" s="696">
        <v>8.4600000000000009</v>
      </c>
      <c r="AZ10" s="696">
        <f>AW10-AX10</f>
        <v>61.559999999999988</v>
      </c>
      <c r="BA10" s="238" t="s">
        <v>1115</v>
      </c>
      <c r="BB10" s="1152">
        <v>0.11</v>
      </c>
      <c r="BC10" s="1156" t="s">
        <v>1119</v>
      </c>
    </row>
    <row r="11" spans="1:55" s="17" customFormat="1" ht="27.75" customHeight="1" x14ac:dyDescent="0.2">
      <c r="A11" s="18">
        <v>2</v>
      </c>
      <c r="B11" s="430" t="s">
        <v>830</v>
      </c>
      <c r="C11" s="243"/>
      <c r="D11" s="48"/>
      <c r="E11" s="239"/>
      <c r="F11" s="238"/>
      <c r="G11" s="21"/>
      <c r="H11" s="21"/>
      <c r="I11" s="507"/>
      <c r="J11" s="21">
        <v>26.24</v>
      </c>
      <c r="K11" s="238">
        <f t="shared" si="0"/>
        <v>26.24</v>
      </c>
      <c r="L11" s="238"/>
      <c r="M11" s="21">
        <f t="shared" si="1"/>
        <v>26.24</v>
      </c>
      <c r="N11" s="21"/>
      <c r="O11" s="239"/>
      <c r="P11" s="21">
        <f t="shared" si="2"/>
        <v>26.24</v>
      </c>
      <c r="Q11" s="239">
        <f>P11</f>
        <v>26.24</v>
      </c>
      <c r="R11" s="238">
        <v>204.29</v>
      </c>
      <c r="S11" s="21">
        <f>Q11+R11</f>
        <v>230.53</v>
      </c>
      <c r="T11" s="21"/>
      <c r="U11" s="239">
        <v>29.42</v>
      </c>
      <c r="V11" s="21">
        <f t="shared" si="3"/>
        <v>230.53</v>
      </c>
      <c r="W11" s="696">
        <v>230.53</v>
      </c>
      <c r="X11" s="696">
        <v>0</v>
      </c>
      <c r="Y11" s="696">
        <f t="shared" ref="Y11:Y39" si="4">W11+X11</f>
        <v>230.53</v>
      </c>
      <c r="Z11" s="696">
        <v>23.04</v>
      </c>
      <c r="AA11" s="707">
        <v>29.52</v>
      </c>
      <c r="AB11" s="696">
        <f t="shared" ref="AB11:AB39" si="5">Y11-Z11</f>
        <v>207.49</v>
      </c>
      <c r="AC11" s="1090">
        <v>207.49</v>
      </c>
      <c r="AD11" s="1090"/>
      <c r="AE11" s="1090">
        <f t="shared" ref="AE11:AE54" si="6">AC11+AD11</f>
        <v>207.49</v>
      </c>
      <c r="AF11" s="1090">
        <v>28.18</v>
      </c>
      <c r="AG11" s="1090">
        <f>[24]D9!$G$9</f>
        <v>23.65</v>
      </c>
      <c r="AH11" s="1090">
        <f t="shared" ref="AH11:AH54" si="7">AE11-AF11</f>
        <v>179.31</v>
      </c>
      <c r="AI11" s="696">
        <f t="shared" ref="AI11:AI54" si="8">AH11</f>
        <v>179.31</v>
      </c>
      <c r="AJ11" s="696">
        <v>24.22</v>
      </c>
      <c r="AK11" s="696">
        <f t="shared" ref="AK11:AK57" si="9">AI11+AJ11</f>
        <v>203.53</v>
      </c>
      <c r="AL11" s="696">
        <v>31.67</v>
      </c>
      <c r="AM11" s="707">
        <v>22.41</v>
      </c>
      <c r="AN11" s="696">
        <f t="shared" ref="AN11:AN55" si="10">AK11-AL11</f>
        <v>171.86</v>
      </c>
      <c r="AO11" s="696">
        <f t="shared" ref="AO11:AO55" si="11">AN11</f>
        <v>171.86</v>
      </c>
      <c r="AP11" s="696"/>
      <c r="AQ11" s="696">
        <f t="shared" ref="AQ11:AQ58" si="12">AO11+AP11</f>
        <v>171.86</v>
      </c>
      <c r="AR11" s="696">
        <v>28.64</v>
      </c>
      <c r="AS11" s="707">
        <v>18.899999999999999</v>
      </c>
      <c r="AT11" s="696">
        <f t="shared" ref="AT11:AT58" si="13">AQ11-AR11</f>
        <v>143.22000000000003</v>
      </c>
      <c r="AU11" s="696">
        <f t="shared" ref="AU11:AU79" si="14">AT11</f>
        <v>143.22000000000003</v>
      </c>
      <c r="AV11" s="696"/>
      <c r="AW11" s="696">
        <f t="shared" ref="AW11:AW58" si="15">AU11+AV11</f>
        <v>143.22000000000003</v>
      </c>
      <c r="AX11" s="696">
        <v>28.64</v>
      </c>
      <c r="AY11" s="696">
        <v>15.75</v>
      </c>
      <c r="AZ11" s="696">
        <f t="shared" ref="AZ11:AZ58" si="16">AW11-AX11</f>
        <v>114.58000000000003</v>
      </c>
      <c r="BA11" s="238" t="s">
        <v>1115</v>
      </c>
      <c r="BB11" s="1152">
        <v>0.11</v>
      </c>
      <c r="BC11" s="1156" t="s">
        <v>1120</v>
      </c>
    </row>
    <row r="12" spans="1:55" s="17" customFormat="1" ht="30" customHeight="1" x14ac:dyDescent="0.2">
      <c r="A12" s="18">
        <v>3</v>
      </c>
      <c r="B12" s="189" t="s">
        <v>718</v>
      </c>
      <c r="C12" s="243">
        <v>0.1069</v>
      </c>
      <c r="D12" s="48">
        <v>61.400000000000006</v>
      </c>
      <c r="E12" s="238">
        <f>D12</f>
        <v>61.400000000000006</v>
      </c>
      <c r="F12" s="238"/>
      <c r="G12" s="21">
        <f>E12+F12</f>
        <v>61.400000000000006</v>
      </c>
      <c r="H12" s="21">
        <v>19.670000000000002</v>
      </c>
      <c r="I12" s="507">
        <v>0.56000000000000005</v>
      </c>
      <c r="J12" s="21">
        <v>2.41</v>
      </c>
      <c r="K12" s="238">
        <f t="shared" si="0"/>
        <v>2.41</v>
      </c>
      <c r="L12" s="238"/>
      <c r="M12" s="21">
        <f t="shared" si="1"/>
        <v>2.41</v>
      </c>
      <c r="N12" s="21"/>
      <c r="O12" s="239">
        <v>3.71</v>
      </c>
      <c r="P12" s="21">
        <f t="shared" si="2"/>
        <v>2.41</v>
      </c>
      <c r="Q12" s="239">
        <f>P12</f>
        <v>2.41</v>
      </c>
      <c r="R12" s="238"/>
      <c r="S12" s="21">
        <f>Q12+R12</f>
        <v>2.41</v>
      </c>
      <c r="T12" s="21">
        <v>0.75</v>
      </c>
      <c r="U12" s="239">
        <v>0.32</v>
      </c>
      <c r="V12" s="21">
        <f t="shared" si="3"/>
        <v>1.6600000000000001</v>
      </c>
      <c r="W12" s="696">
        <v>1.6600000000000001</v>
      </c>
      <c r="X12" s="696"/>
      <c r="Y12" s="696">
        <f t="shared" si="4"/>
        <v>1.6600000000000001</v>
      </c>
      <c r="Z12" s="696">
        <v>0.74</v>
      </c>
      <c r="AA12" s="707">
        <v>0.25600000000000001</v>
      </c>
      <c r="AB12" s="696">
        <f t="shared" si="5"/>
        <v>0.92000000000000015</v>
      </c>
      <c r="AC12" s="1090">
        <v>0.92000000000000015</v>
      </c>
      <c r="AD12" s="1090"/>
      <c r="AE12" s="1090">
        <f t="shared" si="6"/>
        <v>0.92000000000000015</v>
      </c>
      <c r="AF12" s="1090">
        <v>0.75</v>
      </c>
      <c r="AG12" s="1090">
        <v>0.15</v>
      </c>
      <c r="AH12" s="1090">
        <f t="shared" si="7"/>
        <v>0.17000000000000015</v>
      </c>
      <c r="AI12" s="696">
        <f t="shared" si="8"/>
        <v>0.17000000000000015</v>
      </c>
      <c r="AJ12" s="696"/>
      <c r="AK12" s="696">
        <f t="shared" si="9"/>
        <v>0.17000000000000015</v>
      </c>
      <c r="AL12" s="696">
        <v>0.17</v>
      </c>
      <c r="AM12" s="707">
        <v>7.0000000000000007E-2</v>
      </c>
      <c r="AN12" s="696">
        <f t="shared" si="10"/>
        <v>0</v>
      </c>
      <c r="AO12" s="696">
        <f t="shared" si="11"/>
        <v>0</v>
      </c>
      <c r="AP12" s="696"/>
      <c r="AQ12" s="696">
        <f t="shared" si="12"/>
        <v>0</v>
      </c>
      <c r="AR12" s="696"/>
      <c r="AS12" s="696">
        <v>0</v>
      </c>
      <c r="AT12" s="696">
        <f t="shared" si="13"/>
        <v>0</v>
      </c>
      <c r="AU12" s="696">
        <f t="shared" si="14"/>
        <v>0</v>
      </c>
      <c r="AV12" s="696"/>
      <c r="AW12" s="696">
        <f t="shared" si="15"/>
        <v>0</v>
      </c>
      <c r="AX12" s="696"/>
      <c r="AY12" s="696"/>
      <c r="AZ12" s="696">
        <f t="shared" si="16"/>
        <v>0</v>
      </c>
      <c r="BA12" s="238"/>
      <c r="BB12" s="238"/>
      <c r="BC12" s="1156" t="s">
        <v>1121</v>
      </c>
    </row>
    <row r="13" spans="1:55" s="17" customFormat="1" ht="30" customHeight="1" x14ac:dyDescent="0.2">
      <c r="A13" s="18">
        <v>4</v>
      </c>
      <c r="B13" s="189" t="s">
        <v>889</v>
      </c>
      <c r="C13" s="243"/>
      <c r="D13" s="48"/>
      <c r="E13" s="238"/>
      <c r="F13" s="238"/>
      <c r="G13" s="21"/>
      <c r="H13" s="21"/>
      <c r="I13" s="507"/>
      <c r="J13" s="21"/>
      <c r="K13" s="238"/>
      <c r="L13" s="238"/>
      <c r="M13" s="21"/>
      <c r="N13" s="21"/>
      <c r="O13" s="239"/>
      <c r="P13" s="21"/>
      <c r="Q13" s="239"/>
      <c r="R13" s="238"/>
      <c r="S13" s="21"/>
      <c r="T13" s="21"/>
      <c r="U13" s="239"/>
      <c r="V13" s="21"/>
      <c r="W13" s="696"/>
      <c r="X13" s="696">
        <v>0</v>
      </c>
      <c r="Y13" s="696">
        <f t="shared" si="4"/>
        <v>0</v>
      </c>
      <c r="Z13" s="696"/>
      <c r="AA13" s="707"/>
      <c r="AB13" s="696">
        <f t="shared" si="5"/>
        <v>0</v>
      </c>
      <c r="AC13" s="1090">
        <v>0</v>
      </c>
      <c r="AD13" s="1090"/>
      <c r="AE13" s="1090">
        <f t="shared" si="6"/>
        <v>0</v>
      </c>
      <c r="AF13" s="1090"/>
      <c r="AG13" s="1090"/>
      <c r="AH13" s="1090">
        <f t="shared" si="7"/>
        <v>0</v>
      </c>
      <c r="AI13" s="696">
        <f t="shared" si="8"/>
        <v>0</v>
      </c>
      <c r="AJ13" s="696"/>
      <c r="AK13" s="696">
        <f t="shared" si="9"/>
        <v>0</v>
      </c>
      <c r="AL13" s="696"/>
      <c r="AM13" s="707"/>
      <c r="AN13" s="696">
        <f t="shared" si="10"/>
        <v>0</v>
      </c>
      <c r="AO13" s="696">
        <f t="shared" si="11"/>
        <v>0</v>
      </c>
      <c r="AP13" s="696"/>
      <c r="AQ13" s="696">
        <f t="shared" si="12"/>
        <v>0</v>
      </c>
      <c r="AR13" s="696"/>
      <c r="AS13" s="696"/>
      <c r="AT13" s="696">
        <f t="shared" si="13"/>
        <v>0</v>
      </c>
      <c r="AU13" s="696">
        <f t="shared" si="14"/>
        <v>0</v>
      </c>
      <c r="AV13" s="696"/>
      <c r="AW13" s="696">
        <f t="shared" si="15"/>
        <v>0</v>
      </c>
      <c r="AX13" s="696"/>
      <c r="AY13" s="696"/>
      <c r="AZ13" s="696">
        <f t="shared" si="16"/>
        <v>0</v>
      </c>
      <c r="BA13" s="238"/>
      <c r="BB13" s="238"/>
      <c r="BC13" s="1156"/>
    </row>
    <row r="14" spans="1:55" s="17" customFormat="1" ht="30" customHeight="1" x14ac:dyDescent="0.2">
      <c r="A14" s="18">
        <v>5</v>
      </c>
      <c r="B14" s="189" t="s">
        <v>890</v>
      </c>
      <c r="C14" s="243"/>
      <c r="D14" s="48"/>
      <c r="E14" s="238"/>
      <c r="F14" s="238"/>
      <c r="G14" s="21"/>
      <c r="H14" s="21"/>
      <c r="I14" s="507"/>
      <c r="J14" s="21"/>
      <c r="K14" s="238"/>
      <c r="L14" s="238"/>
      <c r="M14" s="21"/>
      <c r="N14" s="21"/>
      <c r="O14" s="239"/>
      <c r="P14" s="21"/>
      <c r="Q14" s="239"/>
      <c r="R14" s="238"/>
      <c r="S14" s="21"/>
      <c r="T14" s="21"/>
      <c r="U14" s="239"/>
      <c r="V14" s="21"/>
      <c r="W14" s="696"/>
      <c r="X14" s="696">
        <v>0</v>
      </c>
      <c r="Y14" s="696">
        <f t="shared" si="4"/>
        <v>0</v>
      </c>
      <c r="Z14" s="696"/>
      <c r="AA14" s="707"/>
      <c r="AB14" s="696">
        <f t="shared" si="5"/>
        <v>0</v>
      </c>
      <c r="AC14" s="1090">
        <v>0</v>
      </c>
      <c r="AD14" s="1090"/>
      <c r="AE14" s="1090">
        <f t="shared" si="6"/>
        <v>0</v>
      </c>
      <c r="AF14" s="1090">
        <v>0</v>
      </c>
      <c r="AG14" s="1090"/>
      <c r="AH14" s="1090">
        <v>0</v>
      </c>
      <c r="AI14" s="696">
        <f t="shared" si="8"/>
        <v>0</v>
      </c>
      <c r="AJ14" s="696"/>
      <c r="AK14" s="696">
        <f t="shared" si="9"/>
        <v>0</v>
      </c>
      <c r="AL14" s="696"/>
      <c r="AM14" s="707"/>
      <c r="AN14" s="696">
        <f t="shared" si="10"/>
        <v>0</v>
      </c>
      <c r="AO14" s="696">
        <f t="shared" si="11"/>
        <v>0</v>
      </c>
      <c r="AP14" s="696"/>
      <c r="AQ14" s="696">
        <f t="shared" si="12"/>
        <v>0</v>
      </c>
      <c r="AR14" s="696"/>
      <c r="AS14" s="696"/>
      <c r="AT14" s="696">
        <f t="shared" si="13"/>
        <v>0</v>
      </c>
      <c r="AU14" s="696">
        <f t="shared" si="14"/>
        <v>0</v>
      </c>
      <c r="AV14" s="696"/>
      <c r="AW14" s="696">
        <f t="shared" si="15"/>
        <v>0</v>
      </c>
      <c r="AX14" s="696"/>
      <c r="AY14" s="696"/>
      <c r="AZ14" s="696">
        <f t="shared" si="16"/>
        <v>0</v>
      </c>
      <c r="BA14" s="238"/>
      <c r="BB14" s="238"/>
      <c r="BC14" s="1156"/>
    </row>
    <row r="15" spans="1:55" s="17" customFormat="1" ht="30" customHeight="1" x14ac:dyDescent="0.2">
      <c r="A15" s="18">
        <v>6</v>
      </c>
      <c r="B15" s="189" t="s">
        <v>826</v>
      </c>
      <c r="C15" s="243"/>
      <c r="D15" s="48"/>
      <c r="E15" s="238"/>
      <c r="F15" s="238"/>
      <c r="G15" s="21"/>
      <c r="H15" s="21"/>
      <c r="I15" s="507"/>
      <c r="J15" s="21">
        <v>146.63999999999999</v>
      </c>
      <c r="K15" s="238">
        <f t="shared" si="0"/>
        <v>146.63999999999999</v>
      </c>
      <c r="L15" s="238"/>
      <c r="M15" s="21">
        <f t="shared" si="1"/>
        <v>146.63999999999999</v>
      </c>
      <c r="N15" s="21"/>
      <c r="O15" s="239"/>
      <c r="P15" s="21">
        <f t="shared" si="2"/>
        <v>146.63999999999999</v>
      </c>
      <c r="Q15" s="239">
        <f>P15</f>
        <v>146.63999999999999</v>
      </c>
      <c r="R15" s="238">
        <v>73.260000000000005</v>
      </c>
      <c r="S15" s="21">
        <f>Q15+R15</f>
        <v>219.89999999999998</v>
      </c>
      <c r="T15" s="21"/>
      <c r="U15" s="239"/>
      <c r="V15" s="21">
        <f t="shared" si="3"/>
        <v>219.89999999999998</v>
      </c>
      <c r="W15" s="21">
        <v>219.89999999999998</v>
      </c>
      <c r="X15" s="696">
        <v>0</v>
      </c>
      <c r="Y15" s="696">
        <f t="shared" si="4"/>
        <v>219.89999999999998</v>
      </c>
      <c r="Z15" s="696">
        <v>0</v>
      </c>
      <c r="AA15" s="707">
        <v>0</v>
      </c>
      <c r="AB15" s="696">
        <f t="shared" si="5"/>
        <v>219.89999999999998</v>
      </c>
      <c r="AC15" s="1090"/>
      <c r="AD15" s="1090"/>
      <c r="AE15" s="1090">
        <f t="shared" si="6"/>
        <v>0</v>
      </c>
      <c r="AF15" s="1090"/>
      <c r="AG15" s="1090"/>
      <c r="AH15" s="1090">
        <v>0</v>
      </c>
      <c r="AI15" s="696">
        <f t="shared" si="8"/>
        <v>0</v>
      </c>
      <c r="AJ15" s="696"/>
      <c r="AK15" s="696">
        <f t="shared" si="9"/>
        <v>0</v>
      </c>
      <c r="AL15" s="696"/>
      <c r="AM15" s="707"/>
      <c r="AN15" s="696">
        <f t="shared" si="10"/>
        <v>0</v>
      </c>
      <c r="AO15" s="696">
        <f t="shared" si="11"/>
        <v>0</v>
      </c>
      <c r="AP15" s="696"/>
      <c r="AQ15" s="696">
        <f t="shared" si="12"/>
        <v>0</v>
      </c>
      <c r="AR15" s="696"/>
      <c r="AS15" s="696"/>
      <c r="AT15" s="696">
        <f t="shared" si="13"/>
        <v>0</v>
      </c>
      <c r="AU15" s="696">
        <f t="shared" si="14"/>
        <v>0</v>
      </c>
      <c r="AV15" s="696"/>
      <c r="AW15" s="696">
        <f t="shared" si="15"/>
        <v>0</v>
      </c>
      <c r="AX15" s="696"/>
      <c r="AY15" s="696"/>
      <c r="AZ15" s="696">
        <f t="shared" si="16"/>
        <v>0</v>
      </c>
      <c r="BA15" s="238"/>
      <c r="BB15" s="238"/>
      <c r="BC15" s="1156"/>
    </row>
    <row r="16" spans="1:55" s="17" customFormat="1" ht="30" customHeight="1" x14ac:dyDescent="0.2">
      <c r="A16" s="18">
        <v>7</v>
      </c>
      <c r="B16" s="189" t="s">
        <v>827</v>
      </c>
      <c r="C16" s="243"/>
      <c r="D16" s="48"/>
      <c r="E16" s="238"/>
      <c r="F16" s="238"/>
      <c r="G16" s="21"/>
      <c r="H16" s="21"/>
      <c r="I16" s="507"/>
      <c r="J16" s="21">
        <v>43.54</v>
      </c>
      <c r="K16" s="238">
        <f t="shared" si="0"/>
        <v>43.54</v>
      </c>
      <c r="L16" s="238"/>
      <c r="M16" s="21">
        <f t="shared" si="1"/>
        <v>43.54</v>
      </c>
      <c r="N16" s="21"/>
      <c r="O16" s="239"/>
      <c r="P16" s="21">
        <f t="shared" si="2"/>
        <v>43.54</v>
      </c>
      <c r="Q16" s="239">
        <f t="shared" ref="Q16:Q33" si="17">P16</f>
        <v>43.54</v>
      </c>
      <c r="R16" s="238"/>
      <c r="S16" s="21">
        <f t="shared" ref="S16:S33" si="18">Q16+R16</f>
        <v>43.54</v>
      </c>
      <c r="T16" s="21"/>
      <c r="U16" s="239"/>
      <c r="V16" s="21">
        <f t="shared" si="3"/>
        <v>43.54</v>
      </c>
      <c r="W16" s="21">
        <v>43.54</v>
      </c>
      <c r="X16" s="696">
        <v>15.19</v>
      </c>
      <c r="Y16" s="696">
        <f t="shared" si="4"/>
        <v>58.73</v>
      </c>
      <c r="Z16" s="696">
        <v>0</v>
      </c>
      <c r="AA16" s="707">
        <v>0</v>
      </c>
      <c r="AB16" s="696">
        <f t="shared" si="5"/>
        <v>58.73</v>
      </c>
      <c r="AC16" s="1090">
        <v>58.73</v>
      </c>
      <c r="AD16" s="1090"/>
      <c r="AE16" s="1090">
        <f t="shared" si="6"/>
        <v>58.73</v>
      </c>
      <c r="AF16" s="1090"/>
      <c r="AG16" s="1090"/>
      <c r="AH16" s="1090">
        <f t="shared" si="7"/>
        <v>58.73</v>
      </c>
      <c r="AI16" s="696">
        <f t="shared" si="8"/>
        <v>58.73</v>
      </c>
      <c r="AJ16" s="696"/>
      <c r="AK16" s="696">
        <f t="shared" si="9"/>
        <v>58.73</v>
      </c>
      <c r="AL16" s="696"/>
      <c r="AM16" s="707"/>
      <c r="AN16" s="696">
        <f t="shared" si="10"/>
        <v>58.73</v>
      </c>
      <c r="AO16" s="696">
        <f t="shared" si="11"/>
        <v>58.73</v>
      </c>
      <c r="AP16" s="696"/>
      <c r="AQ16" s="696">
        <f t="shared" si="12"/>
        <v>58.73</v>
      </c>
      <c r="AR16" s="696"/>
      <c r="AS16" s="696"/>
      <c r="AT16" s="696">
        <f t="shared" si="13"/>
        <v>58.73</v>
      </c>
      <c r="AU16" s="696">
        <f t="shared" si="14"/>
        <v>58.73</v>
      </c>
      <c r="AV16" s="696"/>
      <c r="AW16" s="696">
        <f t="shared" si="15"/>
        <v>58.73</v>
      </c>
      <c r="AX16" s="696"/>
      <c r="AY16" s="696"/>
      <c r="AZ16" s="696">
        <f t="shared" si="16"/>
        <v>58.73</v>
      </c>
      <c r="BA16" s="238" t="s">
        <v>1116</v>
      </c>
      <c r="BB16" s="238"/>
      <c r="BC16" s="1156" t="s">
        <v>1122</v>
      </c>
    </row>
    <row r="17" spans="1:55" s="17" customFormat="1" ht="30" customHeight="1" x14ac:dyDescent="0.2">
      <c r="A17" s="18">
        <v>8</v>
      </c>
      <c r="B17" s="189" t="s">
        <v>828</v>
      </c>
      <c r="J17" s="238">
        <v>140.54</v>
      </c>
      <c r="K17" s="238">
        <f t="shared" si="0"/>
        <v>140.54</v>
      </c>
      <c r="L17" s="238"/>
      <c r="M17" s="238">
        <f t="shared" si="1"/>
        <v>140.54</v>
      </c>
      <c r="N17" s="238"/>
      <c r="O17" s="238"/>
      <c r="P17" s="238">
        <f t="shared" si="2"/>
        <v>140.54</v>
      </c>
      <c r="Q17" s="238">
        <f t="shared" si="17"/>
        <v>140.54</v>
      </c>
      <c r="R17" s="238"/>
      <c r="S17" s="238">
        <f t="shared" si="18"/>
        <v>140.54</v>
      </c>
      <c r="T17" s="238">
        <v>10.41</v>
      </c>
      <c r="U17" s="238">
        <v>17.07</v>
      </c>
      <c r="V17" s="238">
        <f t="shared" si="3"/>
        <v>130.13</v>
      </c>
      <c r="W17" s="238">
        <v>130.13</v>
      </c>
      <c r="X17" s="696">
        <v>20.03</v>
      </c>
      <c r="Y17" s="696">
        <f t="shared" si="4"/>
        <v>150.16</v>
      </c>
      <c r="Z17" s="696">
        <v>12.35</v>
      </c>
      <c r="AA17" s="707">
        <v>14.6816811</v>
      </c>
      <c r="AB17" s="696">
        <f t="shared" si="5"/>
        <v>137.81</v>
      </c>
      <c r="AC17" s="1090">
        <v>137.81</v>
      </c>
      <c r="AD17" s="1090"/>
      <c r="AE17" s="1090">
        <f t="shared" si="6"/>
        <v>137.81</v>
      </c>
      <c r="AF17" s="1090">
        <f>[24]D9!$F$12</f>
        <v>11.98</v>
      </c>
      <c r="AG17" s="1090">
        <f>[24]D9!$G$12</f>
        <v>14.89</v>
      </c>
      <c r="AH17" s="1090">
        <f t="shared" si="7"/>
        <v>125.83</v>
      </c>
      <c r="AI17" s="696">
        <f t="shared" si="8"/>
        <v>125.83</v>
      </c>
      <c r="AJ17" s="696"/>
      <c r="AK17" s="696">
        <f t="shared" si="9"/>
        <v>125.83</v>
      </c>
      <c r="AL17" s="696">
        <v>11.99</v>
      </c>
      <c r="AM17" s="707">
        <v>13.6</v>
      </c>
      <c r="AN17" s="696">
        <f t="shared" si="10"/>
        <v>113.84</v>
      </c>
      <c r="AO17" s="696">
        <f t="shared" si="11"/>
        <v>113.84</v>
      </c>
      <c r="AP17" s="696"/>
      <c r="AQ17" s="696">
        <f t="shared" si="12"/>
        <v>113.84</v>
      </c>
      <c r="AR17" s="696">
        <v>11.99</v>
      </c>
      <c r="AS17" s="707">
        <f>AQ17*0.105</f>
        <v>11.953200000000001</v>
      </c>
      <c r="AT17" s="696">
        <f t="shared" si="13"/>
        <v>101.85000000000001</v>
      </c>
      <c r="AU17" s="696">
        <f t="shared" si="14"/>
        <v>101.85000000000001</v>
      </c>
      <c r="AV17" s="696"/>
      <c r="AW17" s="696">
        <f t="shared" si="15"/>
        <v>101.85000000000001</v>
      </c>
      <c r="AX17" s="696">
        <v>11.99</v>
      </c>
      <c r="AY17" s="696">
        <v>11.2</v>
      </c>
      <c r="AZ17" s="696">
        <f t="shared" si="16"/>
        <v>89.860000000000014</v>
      </c>
      <c r="BA17" s="238" t="s">
        <v>1117</v>
      </c>
      <c r="BB17" s="1152">
        <v>0.105</v>
      </c>
      <c r="BC17" s="1156" t="s">
        <v>1123</v>
      </c>
    </row>
    <row r="18" spans="1:55" s="17" customFormat="1" ht="30" customHeight="1" x14ac:dyDescent="0.2">
      <c r="A18" s="18">
        <v>9</v>
      </c>
      <c r="B18" s="189" t="s">
        <v>829</v>
      </c>
      <c r="J18" s="238">
        <v>2.0499999999999998</v>
      </c>
      <c r="K18" s="238">
        <f t="shared" si="0"/>
        <v>2.0499999999999998</v>
      </c>
      <c r="L18" s="238"/>
      <c r="M18" s="238">
        <f t="shared" si="1"/>
        <v>2.0499999999999998</v>
      </c>
      <c r="N18" s="238"/>
      <c r="O18" s="238"/>
      <c r="P18" s="238">
        <f t="shared" si="2"/>
        <v>2.0499999999999998</v>
      </c>
      <c r="Q18" s="238">
        <f t="shared" si="17"/>
        <v>2.0499999999999998</v>
      </c>
      <c r="R18" s="238"/>
      <c r="S18" s="238">
        <f t="shared" si="18"/>
        <v>2.0499999999999998</v>
      </c>
      <c r="T18" s="238"/>
      <c r="U18" s="238">
        <v>0.33</v>
      </c>
      <c r="V18" s="238">
        <f t="shared" si="3"/>
        <v>2.0499999999999998</v>
      </c>
      <c r="W18" s="238">
        <v>2.0499999999999998</v>
      </c>
      <c r="X18" s="696">
        <v>0</v>
      </c>
      <c r="Y18" s="696">
        <f t="shared" si="4"/>
        <v>2.0499999999999998</v>
      </c>
      <c r="Z18" s="696">
        <v>2.0499999999999998</v>
      </c>
      <c r="AA18" s="707">
        <v>9.6036899999999994E-2</v>
      </c>
      <c r="AB18" s="696">
        <f t="shared" si="5"/>
        <v>0</v>
      </c>
      <c r="AC18" s="1090">
        <v>0</v>
      </c>
      <c r="AD18" s="1090"/>
      <c r="AE18" s="1090">
        <f t="shared" si="6"/>
        <v>0</v>
      </c>
      <c r="AF18" s="1090"/>
      <c r="AG18" s="1090"/>
      <c r="AH18" s="1090">
        <f t="shared" si="7"/>
        <v>0</v>
      </c>
      <c r="AI18" s="696">
        <f t="shared" si="8"/>
        <v>0</v>
      </c>
      <c r="AJ18" s="696"/>
      <c r="AK18" s="696">
        <f t="shared" si="9"/>
        <v>0</v>
      </c>
      <c r="AL18" s="696"/>
      <c r="AM18" s="707"/>
      <c r="AN18" s="696">
        <f t="shared" si="10"/>
        <v>0</v>
      </c>
      <c r="AO18" s="696">
        <f t="shared" si="11"/>
        <v>0</v>
      </c>
      <c r="AP18" s="696"/>
      <c r="AQ18" s="696">
        <f t="shared" si="12"/>
        <v>0</v>
      </c>
      <c r="AR18" s="696">
        <v>0</v>
      </c>
      <c r="AS18" s="707">
        <f>AQ18*0.103</f>
        <v>0</v>
      </c>
      <c r="AT18" s="696">
        <f t="shared" si="13"/>
        <v>0</v>
      </c>
      <c r="AU18" s="696">
        <f t="shared" si="14"/>
        <v>0</v>
      </c>
      <c r="AV18" s="696"/>
      <c r="AW18" s="696">
        <f t="shared" si="15"/>
        <v>0</v>
      </c>
      <c r="AX18" s="696"/>
      <c r="AY18" s="696"/>
      <c r="AZ18" s="696">
        <f t="shared" si="16"/>
        <v>0</v>
      </c>
      <c r="BA18" s="238"/>
      <c r="BB18" s="238"/>
      <c r="BC18" s="1156"/>
    </row>
    <row r="19" spans="1:55" s="17" customFormat="1" ht="30" customHeight="1" x14ac:dyDescent="0.2">
      <c r="A19" s="18">
        <v>10</v>
      </c>
      <c r="B19" s="189" t="s">
        <v>831</v>
      </c>
      <c r="J19" s="238">
        <v>93.41</v>
      </c>
      <c r="K19" s="238">
        <f t="shared" si="0"/>
        <v>93.41</v>
      </c>
      <c r="L19" s="238"/>
      <c r="M19" s="238">
        <f t="shared" si="1"/>
        <v>93.41</v>
      </c>
      <c r="N19" s="238"/>
      <c r="O19" s="238"/>
      <c r="P19" s="238">
        <f t="shared" si="2"/>
        <v>93.41</v>
      </c>
      <c r="Q19" s="238">
        <f t="shared" si="17"/>
        <v>93.41</v>
      </c>
      <c r="R19" s="238">
        <v>97.11</v>
      </c>
      <c r="S19" s="238">
        <f t="shared" si="18"/>
        <v>190.51999999999998</v>
      </c>
      <c r="T19" s="238"/>
      <c r="U19" s="238">
        <v>17.149999999999999</v>
      </c>
      <c r="V19" s="238">
        <f t="shared" si="3"/>
        <v>190.51999999999998</v>
      </c>
      <c r="W19" s="238">
        <v>190.51999999999998</v>
      </c>
      <c r="X19" s="696">
        <v>0</v>
      </c>
      <c r="Y19" s="696">
        <f t="shared" si="4"/>
        <v>190.51999999999998</v>
      </c>
      <c r="Z19" s="696">
        <v>0</v>
      </c>
      <c r="AA19" s="707">
        <v>22.806818700000001</v>
      </c>
      <c r="AB19" s="696">
        <f t="shared" si="5"/>
        <v>190.51999999999998</v>
      </c>
      <c r="AC19" s="1090">
        <v>190.51999999999998</v>
      </c>
      <c r="AD19" s="1090"/>
      <c r="AE19" s="1090">
        <f t="shared" si="6"/>
        <v>190.51999999999998</v>
      </c>
      <c r="AF19" s="1090">
        <f>[24]D9!$F$13</f>
        <v>21.17</v>
      </c>
      <c r="AG19" s="1090">
        <f>[24]D9!$G$13</f>
        <v>20.38</v>
      </c>
      <c r="AH19" s="1090">
        <f t="shared" si="7"/>
        <v>169.34999999999997</v>
      </c>
      <c r="AI19" s="696">
        <f t="shared" si="8"/>
        <v>169.34999999999997</v>
      </c>
      <c r="AJ19" s="696">
        <v>13.21</v>
      </c>
      <c r="AK19" s="696">
        <f t="shared" si="9"/>
        <v>182.55999999999997</v>
      </c>
      <c r="AL19" s="696">
        <v>22.81</v>
      </c>
      <c r="AM19" s="707">
        <v>18.55</v>
      </c>
      <c r="AN19" s="696">
        <f t="shared" si="10"/>
        <v>159.74999999999997</v>
      </c>
      <c r="AO19" s="696">
        <f t="shared" si="11"/>
        <v>159.74999999999997</v>
      </c>
      <c r="AP19" s="696"/>
      <c r="AQ19" s="696">
        <f t="shared" si="12"/>
        <v>159.74999999999997</v>
      </c>
      <c r="AR19" s="696">
        <v>22.82</v>
      </c>
      <c r="AS19" s="707">
        <v>17.57</v>
      </c>
      <c r="AT19" s="696">
        <f t="shared" si="13"/>
        <v>136.92999999999998</v>
      </c>
      <c r="AU19" s="696">
        <f t="shared" si="14"/>
        <v>136.92999999999998</v>
      </c>
      <c r="AV19" s="696"/>
      <c r="AW19" s="696">
        <f t="shared" si="15"/>
        <v>136.92999999999998</v>
      </c>
      <c r="AX19" s="696">
        <v>22.82</v>
      </c>
      <c r="AY19" s="696">
        <v>15.06</v>
      </c>
      <c r="AZ19" s="696">
        <f t="shared" si="16"/>
        <v>114.10999999999999</v>
      </c>
      <c r="BA19" s="238" t="s">
        <v>1115</v>
      </c>
      <c r="BB19" s="1152">
        <v>0.11</v>
      </c>
      <c r="BC19" s="1156" t="s">
        <v>945</v>
      </c>
    </row>
    <row r="20" spans="1:55" s="17" customFormat="1" ht="30" customHeight="1" x14ac:dyDescent="0.2">
      <c r="A20" s="18">
        <v>11</v>
      </c>
      <c r="B20" s="189" t="s">
        <v>832</v>
      </c>
      <c r="J20" s="238">
        <v>195.1</v>
      </c>
      <c r="K20" s="238">
        <f t="shared" si="0"/>
        <v>195.1</v>
      </c>
      <c r="L20" s="238"/>
      <c r="M20" s="238">
        <f t="shared" si="1"/>
        <v>195.1</v>
      </c>
      <c r="N20" s="238"/>
      <c r="O20" s="238"/>
      <c r="P20" s="238">
        <f t="shared" si="2"/>
        <v>195.1</v>
      </c>
      <c r="Q20" s="238">
        <f t="shared" si="17"/>
        <v>195.1</v>
      </c>
      <c r="R20" s="238"/>
      <c r="S20" s="238">
        <f t="shared" si="18"/>
        <v>195.1</v>
      </c>
      <c r="T20" s="238">
        <v>19.510000000000002</v>
      </c>
      <c r="U20" s="238">
        <v>22.23</v>
      </c>
      <c r="V20" s="238">
        <f t="shared" si="3"/>
        <v>175.59</v>
      </c>
      <c r="W20" s="238">
        <v>175.59</v>
      </c>
      <c r="X20" s="696">
        <v>38.64</v>
      </c>
      <c r="Y20" s="696">
        <f t="shared" si="4"/>
        <v>214.23000000000002</v>
      </c>
      <c r="Z20" s="696">
        <v>0</v>
      </c>
      <c r="AA20" s="707">
        <v>24.899700899999999</v>
      </c>
      <c r="AB20" s="696">
        <f t="shared" si="5"/>
        <v>214.23000000000002</v>
      </c>
      <c r="AC20" s="1090">
        <v>214.23000000000002</v>
      </c>
      <c r="AD20" s="1090"/>
      <c r="AE20" s="1090">
        <f t="shared" si="6"/>
        <v>214.23000000000002</v>
      </c>
      <c r="AF20" s="1090">
        <f>[24]D9!$F$14</f>
        <v>23.8</v>
      </c>
      <c r="AG20" s="1090">
        <f>[24]D9!$G$14</f>
        <v>24.14</v>
      </c>
      <c r="AH20" s="1090">
        <f t="shared" si="7"/>
        <v>190.43</v>
      </c>
      <c r="AI20" s="696">
        <f t="shared" si="8"/>
        <v>190.43</v>
      </c>
      <c r="AJ20" s="696">
        <v>11.8</v>
      </c>
      <c r="AK20" s="696">
        <f t="shared" si="9"/>
        <v>202.23000000000002</v>
      </c>
      <c r="AL20" s="696">
        <v>25.28</v>
      </c>
      <c r="AM20" s="707">
        <v>21.62</v>
      </c>
      <c r="AN20" s="696">
        <f t="shared" si="10"/>
        <v>176.95000000000002</v>
      </c>
      <c r="AO20" s="696">
        <f t="shared" si="11"/>
        <v>176.95000000000002</v>
      </c>
      <c r="AP20" s="696"/>
      <c r="AQ20" s="696">
        <f t="shared" si="12"/>
        <v>176.95000000000002</v>
      </c>
      <c r="AR20" s="696">
        <v>25.28</v>
      </c>
      <c r="AS20" s="707">
        <v>19.5</v>
      </c>
      <c r="AT20" s="696">
        <f t="shared" si="13"/>
        <v>151.67000000000002</v>
      </c>
      <c r="AU20" s="696">
        <f t="shared" si="14"/>
        <v>151.67000000000002</v>
      </c>
      <c r="AV20" s="696"/>
      <c r="AW20" s="696">
        <f t="shared" si="15"/>
        <v>151.67000000000002</v>
      </c>
      <c r="AX20" s="696">
        <v>25.28</v>
      </c>
      <c r="AY20" s="696">
        <v>16.68</v>
      </c>
      <c r="AZ20" s="696">
        <f t="shared" si="16"/>
        <v>126.39000000000001</v>
      </c>
      <c r="BA20" s="238" t="s">
        <v>1115</v>
      </c>
      <c r="BB20" s="1152">
        <v>0.11</v>
      </c>
      <c r="BC20" s="1156" t="s">
        <v>946</v>
      </c>
    </row>
    <row r="21" spans="1:55" s="17" customFormat="1" ht="30" customHeight="1" x14ac:dyDescent="0.2">
      <c r="A21" s="18">
        <v>12</v>
      </c>
      <c r="B21" s="189" t="s">
        <v>833</v>
      </c>
      <c r="J21" s="238">
        <v>126.36</v>
      </c>
      <c r="K21" s="238">
        <f t="shared" si="0"/>
        <v>126.36</v>
      </c>
      <c r="L21" s="238"/>
      <c r="M21" s="238">
        <f t="shared" si="1"/>
        <v>126.36</v>
      </c>
      <c r="N21" s="238"/>
      <c r="O21" s="238"/>
      <c r="P21" s="238">
        <f t="shared" si="2"/>
        <v>126.36</v>
      </c>
      <c r="Q21" s="238">
        <f t="shared" si="17"/>
        <v>126.36</v>
      </c>
      <c r="R21" s="238">
        <v>4.07</v>
      </c>
      <c r="S21" s="238">
        <f t="shared" si="18"/>
        <v>130.43</v>
      </c>
      <c r="T21" s="238">
        <v>13.03</v>
      </c>
      <c r="U21" s="238">
        <v>14.56</v>
      </c>
      <c r="V21" s="238">
        <f t="shared" si="3"/>
        <v>117.4</v>
      </c>
      <c r="W21" s="238">
        <v>117.4</v>
      </c>
      <c r="X21" s="696">
        <v>0</v>
      </c>
      <c r="Y21" s="696">
        <f t="shared" si="4"/>
        <v>117.4</v>
      </c>
      <c r="Z21" s="696">
        <v>0</v>
      </c>
      <c r="AA21" s="707">
        <v>15.557501500000001</v>
      </c>
      <c r="AB21" s="696">
        <f t="shared" si="5"/>
        <v>117.4</v>
      </c>
      <c r="AC21" s="1090">
        <v>117.4</v>
      </c>
      <c r="AD21" s="1090">
        <v>193.45</v>
      </c>
      <c r="AE21" s="1090">
        <f t="shared" si="6"/>
        <v>310.85000000000002</v>
      </c>
      <c r="AF21" s="1090">
        <v>51.74</v>
      </c>
      <c r="AG21" s="1090">
        <f>[24]D9!$G$15</f>
        <v>29.74</v>
      </c>
      <c r="AH21" s="1090">
        <f t="shared" si="7"/>
        <v>259.11</v>
      </c>
      <c r="AI21" s="696">
        <f t="shared" si="8"/>
        <v>259.11</v>
      </c>
      <c r="AJ21" s="696"/>
      <c r="AK21" s="696">
        <f t="shared" si="9"/>
        <v>259.11</v>
      </c>
      <c r="AL21" s="696">
        <v>32.380000000000003</v>
      </c>
      <c r="AM21" s="707">
        <v>28.91</v>
      </c>
      <c r="AN21" s="696">
        <f t="shared" si="10"/>
        <v>226.73000000000002</v>
      </c>
      <c r="AO21" s="696">
        <f t="shared" si="11"/>
        <v>226.73000000000002</v>
      </c>
      <c r="AP21" s="696"/>
      <c r="AQ21" s="696">
        <f t="shared" si="12"/>
        <v>226.73000000000002</v>
      </c>
      <c r="AR21" s="696">
        <v>32.39</v>
      </c>
      <c r="AS21" s="707">
        <v>24.94</v>
      </c>
      <c r="AT21" s="696">
        <f t="shared" si="13"/>
        <v>194.34000000000003</v>
      </c>
      <c r="AU21" s="696">
        <f t="shared" si="14"/>
        <v>194.34000000000003</v>
      </c>
      <c r="AV21" s="696"/>
      <c r="AW21" s="696">
        <f t="shared" si="15"/>
        <v>194.34000000000003</v>
      </c>
      <c r="AX21" s="696">
        <v>32.39</v>
      </c>
      <c r="AY21" s="696">
        <v>21.37</v>
      </c>
      <c r="AZ21" s="696">
        <f t="shared" si="16"/>
        <v>161.95000000000005</v>
      </c>
      <c r="BA21" s="1146" t="s">
        <v>1115</v>
      </c>
      <c r="BB21" s="1153">
        <v>0.107</v>
      </c>
      <c r="BC21" s="1156" t="s">
        <v>1124</v>
      </c>
    </row>
    <row r="22" spans="1:55" s="17" customFormat="1" ht="30" customHeight="1" x14ac:dyDescent="0.2">
      <c r="A22" s="18">
        <v>13</v>
      </c>
      <c r="B22" s="189" t="s">
        <v>834</v>
      </c>
      <c r="J22" s="238">
        <v>101.24</v>
      </c>
      <c r="K22" s="238">
        <f t="shared" si="0"/>
        <v>101.24</v>
      </c>
      <c r="L22" s="238"/>
      <c r="M22" s="238">
        <f t="shared" si="1"/>
        <v>101.24</v>
      </c>
      <c r="N22" s="238"/>
      <c r="O22" s="238"/>
      <c r="P22" s="238">
        <f t="shared" si="2"/>
        <v>101.24</v>
      </c>
      <c r="Q22" s="238">
        <f t="shared" si="17"/>
        <v>101.24</v>
      </c>
      <c r="R22" s="238">
        <v>4.57</v>
      </c>
      <c r="S22" s="238">
        <f t="shared" si="18"/>
        <v>105.81</v>
      </c>
      <c r="T22" s="238"/>
      <c r="U22" s="238">
        <v>11.36</v>
      </c>
      <c r="V22" s="238">
        <f t="shared" si="3"/>
        <v>105.81</v>
      </c>
      <c r="W22" s="238">
        <v>105.81</v>
      </c>
      <c r="X22" s="696">
        <v>0</v>
      </c>
      <c r="Y22" s="696">
        <f t="shared" si="4"/>
        <v>105.81</v>
      </c>
      <c r="Z22" s="696">
        <v>10.57</v>
      </c>
      <c r="AA22" s="707">
        <v>11.490025899999999</v>
      </c>
      <c r="AB22" s="696">
        <f t="shared" si="5"/>
        <v>95.240000000000009</v>
      </c>
      <c r="AC22" s="1090">
        <v>95.240000000000009</v>
      </c>
      <c r="AD22" s="1090">
        <f>'[25]FY 18-19'!D19</f>
        <v>0</v>
      </c>
      <c r="AE22" s="1090">
        <f t="shared" si="6"/>
        <v>95.240000000000009</v>
      </c>
      <c r="AF22" s="1090"/>
      <c r="AG22" s="1090">
        <f>[24]D9!$G$16</f>
        <v>11.51</v>
      </c>
      <c r="AH22" s="1090">
        <f t="shared" si="7"/>
        <v>95.240000000000009</v>
      </c>
      <c r="AI22" s="696">
        <f t="shared" si="8"/>
        <v>95.240000000000009</v>
      </c>
      <c r="AJ22" s="696"/>
      <c r="AK22" s="696">
        <f t="shared" si="9"/>
        <v>95.240000000000009</v>
      </c>
      <c r="AL22" s="696">
        <v>10.58</v>
      </c>
      <c r="AM22" s="707">
        <v>11.22</v>
      </c>
      <c r="AN22" s="696">
        <f t="shared" si="10"/>
        <v>84.660000000000011</v>
      </c>
      <c r="AO22" s="696">
        <f t="shared" si="11"/>
        <v>84.660000000000011</v>
      </c>
      <c r="AP22" s="696"/>
      <c r="AQ22" s="696">
        <f t="shared" si="12"/>
        <v>84.660000000000011</v>
      </c>
      <c r="AR22" s="696">
        <v>10.58</v>
      </c>
      <c r="AS22" s="707">
        <v>9.31</v>
      </c>
      <c r="AT22" s="696">
        <f t="shared" si="13"/>
        <v>74.080000000000013</v>
      </c>
      <c r="AU22" s="696">
        <f t="shared" si="14"/>
        <v>74.080000000000013</v>
      </c>
      <c r="AV22" s="696"/>
      <c r="AW22" s="696">
        <f t="shared" si="15"/>
        <v>74.080000000000013</v>
      </c>
      <c r="AX22" s="696">
        <v>10.58</v>
      </c>
      <c r="AY22" s="696">
        <v>8.15</v>
      </c>
      <c r="AZ22" s="696">
        <f t="shared" si="16"/>
        <v>63.500000000000014</v>
      </c>
      <c r="BA22" s="238" t="s">
        <v>1115</v>
      </c>
      <c r="BB22" s="1152">
        <v>0.11</v>
      </c>
      <c r="BC22" s="1156" t="s">
        <v>1125</v>
      </c>
    </row>
    <row r="23" spans="1:55" s="17" customFormat="1" ht="30" customHeight="1" x14ac:dyDescent="0.2">
      <c r="A23" s="18">
        <v>14</v>
      </c>
      <c r="B23" s="189" t="s">
        <v>835</v>
      </c>
      <c r="J23" s="238">
        <v>1.39</v>
      </c>
      <c r="K23" s="238">
        <f t="shared" si="0"/>
        <v>1.39</v>
      </c>
      <c r="L23" s="238"/>
      <c r="M23" s="238">
        <f t="shared" si="1"/>
        <v>1.39</v>
      </c>
      <c r="N23" s="238"/>
      <c r="O23" s="238"/>
      <c r="P23" s="238">
        <f t="shared" si="2"/>
        <v>1.39</v>
      </c>
      <c r="Q23" s="238">
        <f t="shared" si="17"/>
        <v>1.39</v>
      </c>
      <c r="R23" s="238">
        <v>1</v>
      </c>
      <c r="S23" s="238">
        <f t="shared" si="18"/>
        <v>2.3899999999999997</v>
      </c>
      <c r="T23" s="238"/>
      <c r="U23" s="238">
        <v>0.15</v>
      </c>
      <c r="V23" s="238">
        <f t="shared" si="3"/>
        <v>2.3899999999999997</v>
      </c>
      <c r="W23" s="238">
        <v>2.3899999999999997</v>
      </c>
      <c r="X23" s="696">
        <v>0.72</v>
      </c>
      <c r="Y23" s="696">
        <f t="shared" si="4"/>
        <v>3.1099999999999994</v>
      </c>
      <c r="Z23" s="696">
        <v>0</v>
      </c>
      <c r="AA23" s="707">
        <v>0.28724329999999998</v>
      </c>
      <c r="AB23" s="696">
        <f t="shared" si="5"/>
        <v>3.1099999999999994</v>
      </c>
      <c r="AC23" s="1097">
        <v>3.1179999999999999</v>
      </c>
      <c r="AD23" s="1090">
        <f>'[25]FY 18-19'!D20</f>
        <v>0</v>
      </c>
      <c r="AE23" s="1090">
        <f t="shared" si="6"/>
        <v>3.1179999999999999</v>
      </c>
      <c r="AF23" s="1097">
        <f>'[3]2.17 to 2.27'!$G$33/10^7</f>
        <v>1.9824073</v>
      </c>
      <c r="AG23" s="1090">
        <f>[24]D9!$G$17</f>
        <v>0.32</v>
      </c>
      <c r="AH23" s="1097">
        <f t="shared" si="7"/>
        <v>1.1355926999999999</v>
      </c>
      <c r="AI23" s="707">
        <f t="shared" si="8"/>
        <v>1.1355926999999999</v>
      </c>
      <c r="AJ23" s="696">
        <v>1.98</v>
      </c>
      <c r="AK23" s="707">
        <f t="shared" si="9"/>
        <v>3.1155926999999997</v>
      </c>
      <c r="AL23" s="696">
        <v>0.21</v>
      </c>
      <c r="AM23" s="707">
        <v>0.31</v>
      </c>
      <c r="AN23" s="707">
        <f t="shared" si="10"/>
        <v>2.9055926999999997</v>
      </c>
      <c r="AO23" s="707">
        <f t="shared" si="11"/>
        <v>2.9055926999999997</v>
      </c>
      <c r="AP23" s="696"/>
      <c r="AQ23" s="707">
        <f t="shared" si="12"/>
        <v>2.9055926999999997</v>
      </c>
      <c r="AR23" s="696">
        <v>0.21</v>
      </c>
      <c r="AS23" s="707">
        <v>0.3</v>
      </c>
      <c r="AT23" s="707">
        <f t="shared" si="13"/>
        <v>2.6955926999999997</v>
      </c>
      <c r="AU23" s="696">
        <f t="shared" si="14"/>
        <v>2.6955926999999997</v>
      </c>
      <c r="AV23" s="707"/>
      <c r="AW23" s="707">
        <f t="shared" si="15"/>
        <v>2.6955926999999997</v>
      </c>
      <c r="AX23" s="707">
        <v>0.21</v>
      </c>
      <c r="AY23" s="707">
        <v>0.28999999999999998</v>
      </c>
      <c r="AZ23" s="707">
        <f t="shared" si="16"/>
        <v>2.4855926999999998</v>
      </c>
      <c r="BA23" s="238" t="s">
        <v>1116</v>
      </c>
      <c r="BB23" s="1152">
        <v>0.10249999999999999</v>
      </c>
      <c r="BC23" s="1156" t="s">
        <v>1126</v>
      </c>
    </row>
    <row r="24" spans="1:55" s="17" customFormat="1" ht="30" customHeight="1" x14ac:dyDescent="0.2">
      <c r="A24" s="18">
        <v>15</v>
      </c>
      <c r="B24" s="189" t="s">
        <v>836</v>
      </c>
      <c r="J24" s="238">
        <v>0</v>
      </c>
      <c r="K24" s="238">
        <f t="shared" si="0"/>
        <v>0</v>
      </c>
      <c r="L24" s="238"/>
      <c r="M24" s="238">
        <f t="shared" si="1"/>
        <v>0</v>
      </c>
      <c r="N24" s="238"/>
      <c r="O24" s="238"/>
      <c r="P24" s="238">
        <f t="shared" si="2"/>
        <v>0</v>
      </c>
      <c r="Q24" s="238">
        <f t="shared" si="17"/>
        <v>0</v>
      </c>
      <c r="R24" s="238">
        <v>420.82</v>
      </c>
      <c r="S24" s="238">
        <f t="shared" si="18"/>
        <v>420.82</v>
      </c>
      <c r="T24" s="238"/>
      <c r="U24" s="238">
        <v>9.41</v>
      </c>
      <c r="V24" s="238">
        <f t="shared" si="3"/>
        <v>420.82</v>
      </c>
      <c r="W24" s="238">
        <v>420.82</v>
      </c>
      <c r="X24" s="696">
        <v>279.93</v>
      </c>
      <c r="Y24" s="696">
        <f t="shared" si="4"/>
        <v>700.75</v>
      </c>
      <c r="Z24" s="696">
        <v>0</v>
      </c>
      <c r="AA24" s="707">
        <v>50.43</v>
      </c>
      <c r="AB24" s="696">
        <f t="shared" si="5"/>
        <v>700.75</v>
      </c>
      <c r="AC24" s="1090">
        <v>700.75</v>
      </c>
      <c r="AD24" s="1090">
        <f>[24]D9!$D$18</f>
        <v>10.75</v>
      </c>
      <c r="AE24" s="1090">
        <f t="shared" si="6"/>
        <v>711.5</v>
      </c>
      <c r="AF24" s="1097">
        <f>'[3]2.17 to 2.27'!$G$43/10^7</f>
        <v>71.150058599999994</v>
      </c>
      <c r="AG24" s="1090">
        <f>[24]D9!$G$18</f>
        <v>71.94</v>
      </c>
      <c r="AH24" s="1097">
        <f t="shared" si="7"/>
        <v>640.34994140000003</v>
      </c>
      <c r="AI24" s="707">
        <f t="shared" si="8"/>
        <v>640.34994140000003</v>
      </c>
      <c r="AJ24" s="696">
        <v>6.49</v>
      </c>
      <c r="AK24" s="707">
        <f t="shared" si="9"/>
        <v>646.83994140000004</v>
      </c>
      <c r="AL24" s="696">
        <v>0.66</v>
      </c>
      <c r="AM24" s="707">
        <v>72.680000000000007</v>
      </c>
      <c r="AN24" s="707">
        <f t="shared" si="10"/>
        <v>646.17994140000008</v>
      </c>
      <c r="AO24" s="707">
        <f t="shared" si="11"/>
        <v>646.17994140000008</v>
      </c>
      <c r="AP24" s="696"/>
      <c r="AQ24" s="707">
        <f t="shared" si="12"/>
        <v>646.17994140000008</v>
      </c>
      <c r="AR24" s="696">
        <v>75.849999999999994</v>
      </c>
      <c r="AS24" s="707">
        <v>66.23</v>
      </c>
      <c r="AT24" s="707">
        <f t="shared" si="13"/>
        <v>570.32994140000005</v>
      </c>
      <c r="AU24" s="696">
        <f t="shared" si="14"/>
        <v>570.32994140000005</v>
      </c>
      <c r="AV24" s="707"/>
      <c r="AW24" s="707">
        <f t="shared" si="15"/>
        <v>570.32994140000005</v>
      </c>
      <c r="AX24" s="707">
        <v>75.849999999999994</v>
      </c>
      <c r="AY24" s="707">
        <v>62.735999999999997</v>
      </c>
      <c r="AZ24" s="707">
        <f t="shared" si="16"/>
        <v>494.47994140000003</v>
      </c>
      <c r="BA24" s="238" t="s">
        <v>1115</v>
      </c>
      <c r="BB24" s="1152">
        <v>0.10249999999999999</v>
      </c>
      <c r="BC24" s="1156" t="s">
        <v>1127</v>
      </c>
    </row>
    <row r="25" spans="1:55" s="17" customFormat="1" ht="30" customHeight="1" x14ac:dyDescent="0.2">
      <c r="A25" s="18">
        <v>16</v>
      </c>
      <c r="B25" s="189" t="s">
        <v>837</v>
      </c>
      <c r="J25" s="238">
        <v>0</v>
      </c>
      <c r="K25" s="238">
        <f t="shared" si="0"/>
        <v>0</v>
      </c>
      <c r="L25" s="238"/>
      <c r="M25" s="238">
        <f t="shared" si="1"/>
        <v>0</v>
      </c>
      <c r="N25" s="238"/>
      <c r="O25" s="238"/>
      <c r="P25" s="238">
        <f t="shared" si="2"/>
        <v>0</v>
      </c>
      <c r="Q25" s="238">
        <f t="shared" si="17"/>
        <v>0</v>
      </c>
      <c r="R25" s="238">
        <v>74.84</v>
      </c>
      <c r="S25" s="238">
        <f t="shared" si="18"/>
        <v>74.84</v>
      </c>
      <c r="T25" s="238"/>
      <c r="U25" s="238">
        <v>1.75</v>
      </c>
      <c r="V25" s="238">
        <f t="shared" si="3"/>
        <v>74.84</v>
      </c>
      <c r="W25" s="238">
        <v>74.84</v>
      </c>
      <c r="X25" s="696">
        <v>83.82</v>
      </c>
      <c r="Y25" s="696">
        <f t="shared" si="4"/>
        <v>158.66</v>
      </c>
      <c r="Z25" s="696">
        <v>0</v>
      </c>
      <c r="AA25" s="707">
        <v>10.684433800000001</v>
      </c>
      <c r="AB25" s="696">
        <f t="shared" si="5"/>
        <v>158.66</v>
      </c>
      <c r="AC25" s="1090">
        <v>158.66</v>
      </c>
      <c r="AD25" s="1090">
        <f>[24]D9!$D$19</f>
        <v>9.5500000000000007</v>
      </c>
      <c r="AE25" s="1090">
        <f t="shared" si="6"/>
        <v>168.21</v>
      </c>
      <c r="AF25" s="1097">
        <f>'[3]2.17 to 2.27'!$G$42/10^7</f>
        <v>16.821901700000002</v>
      </c>
      <c r="AG25" s="1090">
        <f>[24]D9!$G$19</f>
        <v>15.67</v>
      </c>
      <c r="AH25" s="1097">
        <f t="shared" si="7"/>
        <v>151.3880983</v>
      </c>
      <c r="AI25" s="707">
        <f t="shared" si="8"/>
        <v>151.3880983</v>
      </c>
      <c r="AJ25" s="696"/>
      <c r="AK25" s="707">
        <f t="shared" si="9"/>
        <v>151.3880983</v>
      </c>
      <c r="AL25" s="696"/>
      <c r="AM25" s="707">
        <v>16.260000000000002</v>
      </c>
      <c r="AN25" s="707">
        <f t="shared" si="10"/>
        <v>151.3880983</v>
      </c>
      <c r="AO25" s="707">
        <f t="shared" si="11"/>
        <v>151.3880983</v>
      </c>
      <c r="AP25" s="696"/>
      <c r="AQ25" s="707">
        <f t="shared" si="12"/>
        <v>151.3880983</v>
      </c>
      <c r="AR25" s="696">
        <v>16.82</v>
      </c>
      <c r="AS25" s="707">
        <v>15.29</v>
      </c>
      <c r="AT25" s="1154">
        <f t="shared" si="13"/>
        <v>134.5680983</v>
      </c>
      <c r="AU25" s="696">
        <f t="shared" si="14"/>
        <v>134.5680983</v>
      </c>
      <c r="AV25" s="1154"/>
      <c r="AW25" s="707">
        <f t="shared" si="15"/>
        <v>134.5680983</v>
      </c>
      <c r="AX25" s="1154">
        <v>16.82</v>
      </c>
      <c r="AY25" s="1154">
        <v>14.8</v>
      </c>
      <c r="AZ25" s="707">
        <f t="shared" si="16"/>
        <v>117.74809830000001</v>
      </c>
      <c r="BA25" s="238" t="s">
        <v>1115</v>
      </c>
      <c r="BB25" s="1152">
        <v>0.10100000000000001</v>
      </c>
      <c r="BC25" s="1156" t="s">
        <v>1128</v>
      </c>
    </row>
    <row r="26" spans="1:55" s="17" customFormat="1" ht="30" customHeight="1" x14ac:dyDescent="0.2">
      <c r="A26" s="18">
        <v>17</v>
      </c>
      <c r="B26" s="189" t="s">
        <v>1103</v>
      </c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696"/>
      <c r="Y26" s="696"/>
      <c r="Z26" s="696"/>
      <c r="AA26" s="707"/>
      <c r="AB26" s="696"/>
      <c r="AC26" s="1090"/>
      <c r="AD26" s="1090">
        <f>[24]D9!$D$20</f>
        <v>299.45999999999998</v>
      </c>
      <c r="AE26" s="1090">
        <f t="shared" si="6"/>
        <v>299.45999999999998</v>
      </c>
      <c r="AF26" s="1090"/>
      <c r="AG26" s="1090">
        <f>[24]D9!$G$20</f>
        <v>3.64</v>
      </c>
      <c r="AH26" s="1090">
        <f t="shared" si="7"/>
        <v>299.45999999999998</v>
      </c>
      <c r="AI26" s="707">
        <f t="shared" si="8"/>
        <v>299.45999999999998</v>
      </c>
      <c r="AJ26" s="696">
        <v>447.58</v>
      </c>
      <c r="AK26" s="696">
        <f t="shared" si="9"/>
        <v>747.04</v>
      </c>
      <c r="AL26" s="696"/>
      <c r="AM26" s="707">
        <v>60</v>
      </c>
      <c r="AN26" s="696">
        <f t="shared" si="10"/>
        <v>747.04</v>
      </c>
      <c r="AO26" s="696">
        <f t="shared" si="11"/>
        <v>747.04</v>
      </c>
      <c r="AP26" s="696">
        <v>155.13</v>
      </c>
      <c r="AQ26" s="707">
        <f t="shared" si="12"/>
        <v>902.17</v>
      </c>
      <c r="AR26" s="696"/>
      <c r="AS26" s="707">
        <v>100.59</v>
      </c>
      <c r="AT26" s="696">
        <f t="shared" si="13"/>
        <v>902.17</v>
      </c>
      <c r="AU26" s="696">
        <f t="shared" si="14"/>
        <v>902.17</v>
      </c>
      <c r="AV26" s="696"/>
      <c r="AW26" s="696">
        <f t="shared" si="15"/>
        <v>902.17</v>
      </c>
      <c r="AX26" s="696"/>
      <c r="AY26" s="696">
        <v>99.238699999999994</v>
      </c>
      <c r="AZ26" s="696">
        <f t="shared" si="16"/>
        <v>902.17</v>
      </c>
      <c r="BA26" s="238" t="s">
        <v>1115</v>
      </c>
      <c r="BB26" s="1152">
        <v>0.1115</v>
      </c>
      <c r="BC26" s="1156" t="s">
        <v>946</v>
      </c>
    </row>
    <row r="27" spans="1:55" s="17" customFormat="1" ht="30" customHeight="1" x14ac:dyDescent="0.2">
      <c r="A27" s="18">
        <v>18</v>
      </c>
      <c r="B27" s="189" t="s">
        <v>1104</v>
      </c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8"/>
      <c r="W27" s="238"/>
      <c r="X27" s="696"/>
      <c r="Y27" s="696"/>
      <c r="Z27" s="696"/>
      <c r="AA27" s="707"/>
      <c r="AB27" s="696"/>
      <c r="AC27" s="1090"/>
      <c r="AD27" s="1090">
        <f>[24]D9!$D$21</f>
        <v>38.44</v>
      </c>
      <c r="AE27" s="1090">
        <f t="shared" si="6"/>
        <v>38.44</v>
      </c>
      <c r="AF27" s="1090"/>
      <c r="AG27" s="1090">
        <f>[24]D9!$G$21</f>
        <v>0.65</v>
      </c>
      <c r="AH27" s="1090">
        <f t="shared" si="7"/>
        <v>38.44</v>
      </c>
      <c r="AI27" s="707">
        <f t="shared" si="8"/>
        <v>38.44</v>
      </c>
      <c r="AJ27" s="696">
        <v>32.159999999999997</v>
      </c>
      <c r="AK27" s="696">
        <f t="shared" si="9"/>
        <v>70.599999999999994</v>
      </c>
      <c r="AL27" s="696"/>
      <c r="AM27" s="707">
        <v>5.78</v>
      </c>
      <c r="AN27" s="696">
        <f t="shared" si="10"/>
        <v>70.599999999999994</v>
      </c>
      <c r="AO27" s="696">
        <f t="shared" si="11"/>
        <v>70.599999999999994</v>
      </c>
      <c r="AP27" s="696"/>
      <c r="AQ27" s="707">
        <f t="shared" si="12"/>
        <v>70.599999999999994</v>
      </c>
      <c r="AR27" s="696"/>
      <c r="AS27" s="707">
        <v>7.18</v>
      </c>
      <c r="AT27" s="696">
        <f t="shared" si="13"/>
        <v>70.599999999999994</v>
      </c>
      <c r="AU27" s="696">
        <f t="shared" si="14"/>
        <v>70.599999999999994</v>
      </c>
      <c r="AV27" s="696"/>
      <c r="AW27" s="696">
        <f t="shared" si="15"/>
        <v>70.599999999999994</v>
      </c>
      <c r="AX27" s="696"/>
      <c r="AY27" s="696">
        <v>7.766</v>
      </c>
      <c r="AZ27" s="696">
        <f t="shared" si="16"/>
        <v>70.599999999999994</v>
      </c>
      <c r="BA27" s="238" t="s">
        <v>1115</v>
      </c>
      <c r="BB27" s="1152">
        <v>0.1017</v>
      </c>
      <c r="BC27" s="1156" t="s">
        <v>1130</v>
      </c>
    </row>
    <row r="28" spans="1:55" s="17" customFormat="1" ht="30" customHeight="1" x14ac:dyDescent="0.2">
      <c r="A28" s="18">
        <v>19</v>
      </c>
      <c r="B28" s="189" t="s">
        <v>1105</v>
      </c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696"/>
      <c r="Y28" s="696"/>
      <c r="Z28" s="696"/>
      <c r="AA28" s="707"/>
      <c r="AB28" s="696"/>
      <c r="AC28" s="1090"/>
      <c r="AD28" s="1090">
        <f>[24]D9!$D$22</f>
        <v>36.770000000000003</v>
      </c>
      <c r="AE28" s="1090">
        <f t="shared" si="6"/>
        <v>36.770000000000003</v>
      </c>
      <c r="AF28" s="1090"/>
      <c r="AG28" s="1090">
        <f>[24]D9!$G$22</f>
        <v>0.19</v>
      </c>
      <c r="AH28" s="1090">
        <f t="shared" si="7"/>
        <v>36.770000000000003</v>
      </c>
      <c r="AI28" s="707">
        <f t="shared" si="8"/>
        <v>36.770000000000003</v>
      </c>
      <c r="AJ28" s="696">
        <v>100.63</v>
      </c>
      <c r="AK28" s="696">
        <f t="shared" si="9"/>
        <v>137.4</v>
      </c>
      <c r="AL28" s="696"/>
      <c r="AM28" s="707">
        <v>9.11</v>
      </c>
      <c r="AN28" s="696">
        <f t="shared" si="10"/>
        <v>137.4</v>
      </c>
      <c r="AO28" s="696">
        <f t="shared" si="11"/>
        <v>137.4</v>
      </c>
      <c r="AP28" s="696"/>
      <c r="AQ28" s="707">
        <f t="shared" si="12"/>
        <v>137.4</v>
      </c>
      <c r="AR28" s="696"/>
      <c r="AS28" s="707">
        <v>13.9</v>
      </c>
      <c r="AT28" s="696">
        <f t="shared" si="13"/>
        <v>137.4</v>
      </c>
      <c r="AU28" s="696">
        <f t="shared" si="14"/>
        <v>137.4</v>
      </c>
      <c r="AV28" s="696"/>
      <c r="AW28" s="696">
        <f t="shared" si="15"/>
        <v>137.4</v>
      </c>
      <c r="AX28" s="696"/>
      <c r="AY28" s="696">
        <v>15.114000000000001</v>
      </c>
      <c r="AZ28" s="696">
        <f t="shared" si="16"/>
        <v>137.4</v>
      </c>
      <c r="BA28" s="238" t="s">
        <v>1115</v>
      </c>
      <c r="BB28" s="1152">
        <v>0.1011</v>
      </c>
      <c r="BC28" s="1156" t="s">
        <v>1131</v>
      </c>
    </row>
    <row r="29" spans="1:55" s="17" customFormat="1" ht="30" customHeight="1" x14ac:dyDescent="0.2">
      <c r="A29" s="18">
        <v>20</v>
      </c>
      <c r="B29" s="1459" t="s">
        <v>838</v>
      </c>
      <c r="J29" s="238">
        <v>0.55000000000000004</v>
      </c>
      <c r="K29" s="238">
        <f t="shared" si="0"/>
        <v>0.55000000000000004</v>
      </c>
      <c r="L29" s="238"/>
      <c r="M29" s="238">
        <f t="shared" si="1"/>
        <v>0.55000000000000004</v>
      </c>
      <c r="N29" s="238"/>
      <c r="O29" s="238"/>
      <c r="P29" s="238">
        <f t="shared" si="2"/>
        <v>0.55000000000000004</v>
      </c>
      <c r="Q29" s="238">
        <f t="shared" si="17"/>
        <v>0.55000000000000004</v>
      </c>
      <c r="R29" s="238"/>
      <c r="S29" s="238">
        <f t="shared" si="18"/>
        <v>0.55000000000000004</v>
      </c>
      <c r="T29" s="238">
        <v>0.11</v>
      </c>
      <c r="U29" s="238">
        <v>0.08</v>
      </c>
      <c r="V29" s="238">
        <f t="shared" si="3"/>
        <v>0.44000000000000006</v>
      </c>
      <c r="W29" s="238">
        <v>0.44000000000000006</v>
      </c>
      <c r="X29" s="696">
        <v>0</v>
      </c>
      <c r="Y29" s="696">
        <f t="shared" si="4"/>
        <v>0.44000000000000006</v>
      </c>
      <c r="Z29" s="696">
        <v>0.11</v>
      </c>
      <c r="AA29" s="707">
        <v>6.6151100000000004E-2</v>
      </c>
      <c r="AB29" s="696">
        <f t="shared" si="5"/>
        <v>0.33000000000000007</v>
      </c>
      <c r="AC29" s="1090">
        <v>0.33000000000000007</v>
      </c>
      <c r="AD29" s="1090">
        <f>'[25]FY 18-19'!D23</f>
        <v>0</v>
      </c>
      <c r="AE29" s="1090">
        <f t="shared" si="6"/>
        <v>0.33000000000000007</v>
      </c>
      <c r="AF29" s="1090">
        <v>0.11</v>
      </c>
      <c r="AG29" s="1090">
        <f>[24]D9!$G$35</f>
        <v>0.05</v>
      </c>
      <c r="AH29" s="1090">
        <f t="shared" si="7"/>
        <v>0.22000000000000008</v>
      </c>
      <c r="AI29" s="696">
        <f t="shared" si="8"/>
        <v>0.22000000000000008</v>
      </c>
      <c r="AJ29" s="696"/>
      <c r="AK29" s="696">
        <f t="shared" si="9"/>
        <v>0.22000000000000008</v>
      </c>
      <c r="AL29" s="696">
        <v>0.11</v>
      </c>
      <c r="AM29" s="707">
        <v>0.04</v>
      </c>
      <c r="AN29" s="696">
        <f t="shared" si="10"/>
        <v>0.11000000000000008</v>
      </c>
      <c r="AO29" s="696">
        <f t="shared" si="11"/>
        <v>0.11000000000000008</v>
      </c>
      <c r="AP29" s="696"/>
      <c r="AQ29" s="707">
        <f t="shared" si="12"/>
        <v>0.11000000000000008</v>
      </c>
      <c r="AR29" s="696">
        <v>0.11</v>
      </c>
      <c r="AS29" s="707">
        <v>0.01</v>
      </c>
      <c r="AT29" s="696">
        <f t="shared" si="13"/>
        <v>0</v>
      </c>
      <c r="AU29" s="696">
        <f t="shared" si="14"/>
        <v>0</v>
      </c>
      <c r="AV29" s="696"/>
      <c r="AW29" s="696">
        <f t="shared" si="15"/>
        <v>0</v>
      </c>
      <c r="AX29" s="696"/>
      <c r="AY29" s="696"/>
      <c r="AZ29" s="696">
        <f t="shared" si="16"/>
        <v>0</v>
      </c>
      <c r="BA29" s="238" t="s">
        <v>1116</v>
      </c>
      <c r="BB29" s="1153">
        <v>0.12</v>
      </c>
      <c r="BC29" s="1156"/>
    </row>
    <row r="30" spans="1:55" s="17" customFormat="1" ht="30" customHeight="1" x14ac:dyDescent="0.2">
      <c r="A30" s="18">
        <v>21</v>
      </c>
      <c r="B30" s="1459" t="s">
        <v>839</v>
      </c>
      <c r="J30" s="238">
        <v>25.02</v>
      </c>
      <c r="K30" s="238">
        <f t="shared" si="0"/>
        <v>25.02</v>
      </c>
      <c r="L30" s="238"/>
      <c r="M30" s="238">
        <f t="shared" si="1"/>
        <v>25.02</v>
      </c>
      <c r="N30" s="238"/>
      <c r="O30" s="238"/>
      <c r="P30" s="238">
        <f t="shared" si="2"/>
        <v>25.02</v>
      </c>
      <c r="Q30" s="238">
        <f t="shared" si="17"/>
        <v>25.02</v>
      </c>
      <c r="R30" s="238"/>
      <c r="S30" s="238">
        <f t="shared" si="18"/>
        <v>25.02</v>
      </c>
      <c r="T30" s="238">
        <v>4.17</v>
      </c>
      <c r="U30" s="238">
        <v>4.8099999999999996</v>
      </c>
      <c r="V30" s="238">
        <f t="shared" si="3"/>
        <v>20.85</v>
      </c>
      <c r="W30" s="238">
        <v>20.85</v>
      </c>
      <c r="X30" s="696">
        <v>0</v>
      </c>
      <c r="Y30" s="696">
        <f t="shared" si="4"/>
        <v>20.85</v>
      </c>
      <c r="Z30" s="696">
        <v>4.17</v>
      </c>
      <c r="AA30" s="707">
        <v>2.7090000000000001</v>
      </c>
      <c r="AB30" s="696">
        <f t="shared" si="5"/>
        <v>16.68</v>
      </c>
      <c r="AC30" s="1090">
        <v>16.68</v>
      </c>
      <c r="AD30" s="1090"/>
      <c r="AE30" s="1090">
        <f t="shared" si="6"/>
        <v>16.68</v>
      </c>
      <c r="AF30" s="1090">
        <v>4.17</v>
      </c>
      <c r="AG30" s="1090">
        <f>[24]D9!$G$36</f>
        <v>2.2599999999999998</v>
      </c>
      <c r="AH30" s="1090">
        <f t="shared" si="7"/>
        <v>12.51</v>
      </c>
      <c r="AI30" s="696">
        <f t="shared" si="8"/>
        <v>12.51</v>
      </c>
      <c r="AJ30" s="696"/>
      <c r="AK30" s="696">
        <f t="shared" si="9"/>
        <v>12.51</v>
      </c>
      <c r="AL30" s="696">
        <v>4.17</v>
      </c>
      <c r="AM30" s="707">
        <v>1.81</v>
      </c>
      <c r="AN30" s="696">
        <f t="shared" si="10"/>
        <v>8.34</v>
      </c>
      <c r="AO30" s="696">
        <f t="shared" si="11"/>
        <v>8.34</v>
      </c>
      <c r="AP30" s="696"/>
      <c r="AQ30" s="707">
        <f t="shared" si="12"/>
        <v>8.34</v>
      </c>
      <c r="AR30" s="696">
        <v>4.17</v>
      </c>
      <c r="AS30" s="707">
        <v>0.95899999999999996</v>
      </c>
      <c r="AT30" s="696">
        <f t="shared" si="13"/>
        <v>4.17</v>
      </c>
      <c r="AU30" s="696">
        <f t="shared" si="14"/>
        <v>4.17</v>
      </c>
      <c r="AV30" s="696"/>
      <c r="AW30" s="696">
        <f t="shared" si="15"/>
        <v>4.17</v>
      </c>
      <c r="AX30" s="696">
        <v>4.17</v>
      </c>
      <c r="AY30" s="696">
        <v>0.45800000000000002</v>
      </c>
      <c r="AZ30" s="696">
        <f t="shared" si="16"/>
        <v>0</v>
      </c>
      <c r="BA30" s="238" t="s">
        <v>1116</v>
      </c>
      <c r="BB30" s="1152">
        <v>0.115</v>
      </c>
      <c r="BC30" s="1156" t="s">
        <v>1132</v>
      </c>
    </row>
    <row r="31" spans="1:55" s="17" customFormat="1" ht="30" customHeight="1" x14ac:dyDescent="0.2">
      <c r="A31" s="18">
        <v>22</v>
      </c>
      <c r="B31" s="1459" t="s">
        <v>840</v>
      </c>
      <c r="J31" s="238">
        <v>0.94</v>
      </c>
      <c r="K31" s="238">
        <f t="shared" si="0"/>
        <v>0.94</v>
      </c>
      <c r="L31" s="238"/>
      <c r="M31" s="238">
        <f t="shared" si="1"/>
        <v>0.94</v>
      </c>
      <c r="N31" s="238"/>
      <c r="O31" s="238"/>
      <c r="P31" s="238">
        <f t="shared" si="2"/>
        <v>0.94</v>
      </c>
      <c r="Q31" s="238">
        <f t="shared" si="17"/>
        <v>0.94</v>
      </c>
      <c r="R31" s="238"/>
      <c r="S31" s="238">
        <f t="shared" si="18"/>
        <v>0.94</v>
      </c>
      <c r="T31" s="238"/>
      <c r="U31" s="238"/>
      <c r="V31" s="238">
        <f t="shared" si="3"/>
        <v>0.94</v>
      </c>
      <c r="W31" s="238">
        <v>0.94</v>
      </c>
      <c r="X31" s="696">
        <v>0</v>
      </c>
      <c r="Y31" s="696">
        <f t="shared" si="4"/>
        <v>0.94</v>
      </c>
      <c r="Z31" s="696">
        <v>0</v>
      </c>
      <c r="AA31" s="707">
        <v>0</v>
      </c>
      <c r="AB31" s="696">
        <f t="shared" si="5"/>
        <v>0.94</v>
      </c>
      <c r="AC31" s="1090">
        <v>0.94</v>
      </c>
      <c r="AD31" s="1090"/>
      <c r="AE31" s="1090">
        <f t="shared" si="6"/>
        <v>0.94</v>
      </c>
      <c r="AF31" s="1090"/>
      <c r="AG31" s="1090"/>
      <c r="AH31" s="1090">
        <f t="shared" si="7"/>
        <v>0.94</v>
      </c>
      <c r="AI31" s="696">
        <f t="shared" si="8"/>
        <v>0.94</v>
      </c>
      <c r="AJ31" s="696"/>
      <c r="AK31" s="696">
        <f t="shared" si="9"/>
        <v>0.94</v>
      </c>
      <c r="AL31" s="696"/>
      <c r="AM31" s="707">
        <v>0</v>
      </c>
      <c r="AN31" s="696">
        <f t="shared" si="10"/>
        <v>0.94</v>
      </c>
      <c r="AO31" s="696">
        <f t="shared" si="11"/>
        <v>0.94</v>
      </c>
      <c r="AP31" s="696"/>
      <c r="AQ31" s="707">
        <f t="shared" si="12"/>
        <v>0.94</v>
      </c>
      <c r="AR31" s="696"/>
      <c r="AS31" s="707">
        <v>0</v>
      </c>
      <c r="AT31" s="696">
        <f t="shared" si="13"/>
        <v>0.94</v>
      </c>
      <c r="AU31" s="696">
        <f t="shared" si="14"/>
        <v>0.94</v>
      </c>
      <c r="AV31" s="696"/>
      <c r="AW31" s="696">
        <f t="shared" si="15"/>
        <v>0.94</v>
      </c>
      <c r="AX31" s="696"/>
      <c r="AY31" s="696"/>
      <c r="AZ31" s="696">
        <f t="shared" si="16"/>
        <v>0.94</v>
      </c>
      <c r="BA31" s="238"/>
      <c r="BB31" s="238"/>
      <c r="BC31" s="1156"/>
    </row>
    <row r="32" spans="1:55" s="17" customFormat="1" ht="30" customHeight="1" x14ac:dyDescent="0.2">
      <c r="A32" s="18">
        <v>23</v>
      </c>
      <c r="B32" s="1459" t="s">
        <v>841</v>
      </c>
      <c r="J32" s="238">
        <v>9.1300000000000008</v>
      </c>
      <c r="K32" s="238">
        <f t="shared" si="0"/>
        <v>9.1300000000000008</v>
      </c>
      <c r="L32" s="238"/>
      <c r="M32" s="238">
        <f t="shared" si="1"/>
        <v>9.1300000000000008</v>
      </c>
      <c r="N32" s="238"/>
      <c r="O32" s="238"/>
      <c r="P32" s="238">
        <f t="shared" si="2"/>
        <v>9.1300000000000008</v>
      </c>
      <c r="Q32" s="238">
        <f t="shared" si="17"/>
        <v>9.1300000000000008</v>
      </c>
      <c r="R32" s="238"/>
      <c r="S32" s="238">
        <f t="shared" si="18"/>
        <v>9.1300000000000008</v>
      </c>
      <c r="T32" s="238">
        <v>2.25</v>
      </c>
      <c r="U32" s="238">
        <v>1.21</v>
      </c>
      <c r="V32" s="238">
        <f t="shared" si="3"/>
        <v>6.8800000000000008</v>
      </c>
      <c r="W32" s="238">
        <v>6.8800000000000008</v>
      </c>
      <c r="X32" s="696">
        <v>0</v>
      </c>
      <c r="Y32" s="696">
        <f t="shared" si="4"/>
        <v>6.8800000000000008</v>
      </c>
      <c r="Z32" s="696">
        <v>1.98</v>
      </c>
      <c r="AA32" s="707">
        <v>0.51612139999999995</v>
      </c>
      <c r="AB32" s="696">
        <f t="shared" si="5"/>
        <v>4.9000000000000004</v>
      </c>
      <c r="AC32" s="1090">
        <v>4.9000000000000004</v>
      </c>
      <c r="AD32" s="1090"/>
      <c r="AE32" s="1090">
        <f t="shared" si="6"/>
        <v>4.9000000000000004</v>
      </c>
      <c r="AF32" s="1090"/>
      <c r="AG32" s="1090">
        <f>[24]D9!$G$38</f>
        <v>0.59</v>
      </c>
      <c r="AH32" s="1090">
        <f t="shared" si="7"/>
        <v>4.9000000000000004</v>
      </c>
      <c r="AI32" s="696">
        <f t="shared" si="8"/>
        <v>4.9000000000000004</v>
      </c>
      <c r="AJ32" s="696"/>
      <c r="AK32" s="696">
        <f t="shared" si="9"/>
        <v>4.9000000000000004</v>
      </c>
      <c r="AL32" s="696">
        <v>3.96</v>
      </c>
      <c r="AM32" s="707">
        <v>0.41</v>
      </c>
      <c r="AN32" s="696">
        <f t="shared" si="10"/>
        <v>0.94000000000000039</v>
      </c>
      <c r="AO32" s="696">
        <f t="shared" si="11"/>
        <v>0.94000000000000039</v>
      </c>
      <c r="AP32" s="696"/>
      <c r="AQ32" s="707">
        <f t="shared" si="12"/>
        <v>0.94000000000000039</v>
      </c>
      <c r="AR32" s="696">
        <v>0.94</v>
      </c>
      <c r="AS32" s="707">
        <f>AQ32*0.103</f>
        <v>9.6820000000000031E-2</v>
      </c>
      <c r="AT32" s="696">
        <f t="shared" si="13"/>
        <v>0</v>
      </c>
      <c r="AU32" s="696">
        <f t="shared" si="14"/>
        <v>0</v>
      </c>
      <c r="AV32" s="696"/>
      <c r="AW32" s="696">
        <f t="shared" si="15"/>
        <v>0</v>
      </c>
      <c r="AX32" s="696"/>
      <c r="AY32" s="696"/>
      <c r="AZ32" s="696">
        <f t="shared" si="16"/>
        <v>0</v>
      </c>
      <c r="BA32" s="238" t="s">
        <v>1134</v>
      </c>
      <c r="BB32" s="1152">
        <v>0.1075</v>
      </c>
      <c r="BC32" s="1156" t="s">
        <v>1133</v>
      </c>
    </row>
    <row r="33" spans="1:56" s="17" customFormat="1" ht="25.5" customHeight="1" x14ac:dyDescent="0.2">
      <c r="A33" s="18">
        <v>24</v>
      </c>
      <c r="B33" s="1459" t="s">
        <v>1129</v>
      </c>
      <c r="J33" s="238">
        <v>327.84</v>
      </c>
      <c r="K33" s="238">
        <f t="shared" si="0"/>
        <v>327.84</v>
      </c>
      <c r="L33" s="238"/>
      <c r="M33" s="238">
        <f t="shared" si="1"/>
        <v>327.84</v>
      </c>
      <c r="N33" s="238"/>
      <c r="O33" s="238"/>
      <c r="P33" s="238">
        <f t="shared" si="2"/>
        <v>327.84</v>
      </c>
      <c r="Q33" s="238">
        <f t="shared" si="17"/>
        <v>327.84</v>
      </c>
      <c r="R33" s="238">
        <v>73.959999999999994</v>
      </c>
      <c r="S33" s="238">
        <f t="shared" si="18"/>
        <v>401.79999999999995</v>
      </c>
      <c r="T33" s="238"/>
      <c r="U33" s="238"/>
      <c r="V33" s="238">
        <f t="shared" si="3"/>
        <v>401.79999999999995</v>
      </c>
      <c r="W33" s="238">
        <v>401.79999999999995</v>
      </c>
      <c r="X33" s="696">
        <v>5.68</v>
      </c>
      <c r="Y33" s="696">
        <f t="shared" si="4"/>
        <v>407.47999999999996</v>
      </c>
      <c r="Z33" s="696">
        <v>0</v>
      </c>
      <c r="AA33" s="707">
        <v>0</v>
      </c>
      <c r="AB33" s="696">
        <f t="shared" si="5"/>
        <v>407.47999999999996</v>
      </c>
      <c r="AC33" s="1090">
        <v>407.48</v>
      </c>
      <c r="AD33" s="1090"/>
      <c r="AE33" s="1090">
        <f>AC33</f>
        <v>407.48</v>
      </c>
      <c r="AF33" s="1090"/>
      <c r="AG33" s="1090"/>
      <c r="AH33" s="1090">
        <v>403.29</v>
      </c>
      <c r="AI33" s="696">
        <f t="shared" si="8"/>
        <v>403.29</v>
      </c>
      <c r="AJ33" s="696"/>
      <c r="AK33" s="696">
        <f t="shared" si="9"/>
        <v>403.29</v>
      </c>
      <c r="AL33" s="696">
        <v>174</v>
      </c>
      <c r="AM33" s="707">
        <v>12.41</v>
      </c>
      <c r="AN33" s="696">
        <f t="shared" si="10"/>
        <v>229.29000000000002</v>
      </c>
      <c r="AO33" s="696">
        <f t="shared" si="11"/>
        <v>229.29000000000002</v>
      </c>
      <c r="AP33" s="696"/>
      <c r="AQ33" s="707">
        <f t="shared" si="12"/>
        <v>229.29000000000002</v>
      </c>
      <c r="AR33" s="696">
        <v>224.16</v>
      </c>
      <c r="AS33" s="707">
        <v>1.95</v>
      </c>
      <c r="AT33" s="696">
        <f t="shared" si="13"/>
        <v>5.1300000000000239</v>
      </c>
      <c r="AU33" s="696">
        <f t="shared" si="14"/>
        <v>5.1300000000000239</v>
      </c>
      <c r="AV33" s="696"/>
      <c r="AW33" s="696">
        <f t="shared" si="15"/>
        <v>5.1300000000000239</v>
      </c>
      <c r="AX33" s="696">
        <v>5.13</v>
      </c>
      <c r="AY33" s="696">
        <v>5.3999999999999999E-2</v>
      </c>
      <c r="AZ33" s="696">
        <f t="shared" si="16"/>
        <v>2.3980817331903381E-14</v>
      </c>
      <c r="BA33" s="238" t="s">
        <v>1116</v>
      </c>
      <c r="BB33" s="1152">
        <v>8.5000000000000006E-3</v>
      </c>
      <c r="BC33" s="1156" t="s">
        <v>1193</v>
      </c>
    </row>
    <row r="34" spans="1:56" s="17" customFormat="1" x14ac:dyDescent="0.2">
      <c r="A34" s="18">
        <v>25</v>
      </c>
      <c r="B34" s="189" t="s">
        <v>842</v>
      </c>
      <c r="C34" s="244"/>
      <c r="D34" s="48">
        <v>0</v>
      </c>
      <c r="E34" s="238">
        <f>D34</f>
        <v>0</v>
      </c>
      <c r="F34" s="238"/>
      <c r="G34" s="21">
        <f>E34+F34</f>
        <v>0</v>
      </c>
      <c r="H34" s="21"/>
      <c r="I34" s="414"/>
      <c r="J34" s="21">
        <v>518.5</v>
      </c>
      <c r="K34" s="238">
        <f t="shared" si="0"/>
        <v>518.5</v>
      </c>
      <c r="L34" s="238"/>
      <c r="M34" s="21">
        <f t="shared" si="1"/>
        <v>518.5</v>
      </c>
      <c r="N34" s="21"/>
      <c r="O34" s="238"/>
      <c r="P34" s="21">
        <f t="shared" si="2"/>
        <v>518.5</v>
      </c>
      <c r="Q34" s="239">
        <f>P34</f>
        <v>518.5</v>
      </c>
      <c r="R34" s="238">
        <v>131.5</v>
      </c>
      <c r="S34" s="21">
        <f t="shared" ref="S34:S39" si="19">Q34+R34</f>
        <v>650</v>
      </c>
      <c r="T34" s="21">
        <v>39.07</v>
      </c>
      <c r="U34" s="238">
        <v>62.37</v>
      </c>
      <c r="V34" s="21">
        <f t="shared" si="3"/>
        <v>610.92999999999995</v>
      </c>
      <c r="W34" s="21">
        <f>V34+V38</f>
        <v>708.43</v>
      </c>
      <c r="X34" s="696">
        <v>0</v>
      </c>
      <c r="Y34" s="696">
        <f t="shared" si="4"/>
        <v>708.43</v>
      </c>
      <c r="Z34" s="696">
        <v>89.2</v>
      </c>
      <c r="AA34" s="707">
        <v>55.517877300000002</v>
      </c>
      <c r="AB34" s="926">
        <f t="shared" si="5"/>
        <v>619.2299999999999</v>
      </c>
      <c r="AC34" s="1090">
        <v>619.2299999999999</v>
      </c>
      <c r="AD34" s="1090"/>
      <c r="AE34" s="1090">
        <f t="shared" si="6"/>
        <v>619.2299999999999</v>
      </c>
      <c r="AF34" s="1090">
        <v>90.83</v>
      </c>
      <c r="AG34" s="1090">
        <v>56.86</v>
      </c>
      <c r="AH34" s="1090">
        <f t="shared" si="7"/>
        <v>528.39999999999986</v>
      </c>
      <c r="AI34" s="696">
        <f t="shared" si="8"/>
        <v>528.39999999999986</v>
      </c>
      <c r="AJ34" s="696">
        <v>87.78</v>
      </c>
      <c r="AK34" s="696">
        <f t="shared" si="9"/>
        <v>616.17999999999984</v>
      </c>
      <c r="AL34" s="696">
        <v>68.48</v>
      </c>
      <c r="AM34" s="707">
        <v>54.41</v>
      </c>
      <c r="AN34" s="696">
        <f t="shared" si="10"/>
        <v>547.69999999999982</v>
      </c>
      <c r="AO34" s="696">
        <f t="shared" si="11"/>
        <v>547.69999999999982</v>
      </c>
      <c r="AP34" s="696">
        <v>69.72</v>
      </c>
      <c r="AQ34" s="707">
        <f t="shared" si="12"/>
        <v>617.41999999999985</v>
      </c>
      <c r="AR34" s="696">
        <v>91.24</v>
      </c>
      <c r="AS34" s="707">
        <v>52.78</v>
      </c>
      <c r="AT34" s="696">
        <f t="shared" si="13"/>
        <v>526.17999999999984</v>
      </c>
      <c r="AU34" s="696">
        <f t="shared" si="14"/>
        <v>526.17999999999984</v>
      </c>
      <c r="AV34" s="696"/>
      <c r="AW34" s="696">
        <f t="shared" si="15"/>
        <v>526.17999999999984</v>
      </c>
      <c r="AX34" s="696">
        <v>101.08</v>
      </c>
      <c r="AY34" s="696">
        <v>57.88</v>
      </c>
      <c r="AZ34" s="696">
        <f t="shared" si="16"/>
        <v>425.09999999999985</v>
      </c>
      <c r="BA34" s="238" t="s">
        <v>1135</v>
      </c>
      <c r="BB34" s="1152">
        <v>8.5500000000000007E-2</v>
      </c>
      <c r="BC34" s="1156" t="s">
        <v>1136</v>
      </c>
    </row>
    <row r="35" spans="1:56" s="17" customFormat="1" x14ac:dyDescent="0.2">
      <c r="A35" s="18">
        <v>26</v>
      </c>
      <c r="B35" s="189" t="s">
        <v>843</v>
      </c>
      <c r="C35" s="244"/>
      <c r="D35" s="48"/>
      <c r="E35" s="238"/>
      <c r="F35" s="238"/>
      <c r="G35" s="21"/>
      <c r="H35" s="21"/>
      <c r="I35" s="414"/>
      <c r="J35" s="21">
        <v>85.6</v>
      </c>
      <c r="K35" s="238">
        <f t="shared" si="0"/>
        <v>85.6</v>
      </c>
      <c r="L35" s="238"/>
      <c r="M35" s="21">
        <f t="shared" si="1"/>
        <v>85.6</v>
      </c>
      <c r="N35" s="21"/>
      <c r="O35" s="238"/>
      <c r="P35" s="21">
        <f t="shared" si="2"/>
        <v>85.6</v>
      </c>
      <c r="Q35" s="239">
        <f>P35</f>
        <v>85.6</v>
      </c>
      <c r="R35" s="238"/>
      <c r="S35" s="21">
        <f t="shared" si="19"/>
        <v>85.6</v>
      </c>
      <c r="T35" s="21">
        <v>28.6</v>
      </c>
      <c r="U35" s="238">
        <v>10.17</v>
      </c>
      <c r="V35" s="21">
        <f t="shared" si="3"/>
        <v>56.999999999999993</v>
      </c>
      <c r="W35" s="21">
        <v>56.999999999999993</v>
      </c>
      <c r="X35" s="696">
        <v>0</v>
      </c>
      <c r="Y35" s="696">
        <f t="shared" si="4"/>
        <v>56.999999999999993</v>
      </c>
      <c r="Z35" s="696">
        <v>28.6</v>
      </c>
      <c r="AA35" s="707">
        <v>6.7847146</v>
      </c>
      <c r="AB35" s="696">
        <f t="shared" si="5"/>
        <v>28.399999999999991</v>
      </c>
      <c r="AC35" s="1090">
        <v>28.399999999999991</v>
      </c>
      <c r="AD35" s="1090"/>
      <c r="AE35" s="1090">
        <f t="shared" si="6"/>
        <v>28.399999999999991</v>
      </c>
      <c r="AF35" s="1090">
        <v>28.4</v>
      </c>
      <c r="AG35" s="1090">
        <f>[24]D9!$G$24</f>
        <v>3.95</v>
      </c>
      <c r="AH35" s="1090">
        <f t="shared" si="7"/>
        <v>0</v>
      </c>
      <c r="AI35" s="696">
        <f t="shared" si="8"/>
        <v>0</v>
      </c>
      <c r="AJ35" s="696"/>
      <c r="AK35" s="696">
        <f t="shared" si="9"/>
        <v>0</v>
      </c>
      <c r="AL35" s="696"/>
      <c r="AM35" s="707">
        <v>1.58</v>
      </c>
      <c r="AN35" s="696">
        <f t="shared" si="10"/>
        <v>0</v>
      </c>
      <c r="AO35" s="696">
        <f t="shared" si="11"/>
        <v>0</v>
      </c>
      <c r="AP35" s="696"/>
      <c r="AQ35" s="707">
        <f t="shared" si="12"/>
        <v>0</v>
      </c>
      <c r="AR35" s="696">
        <v>0</v>
      </c>
      <c r="AS35" s="707">
        <f>AQ35*0.103</f>
        <v>0</v>
      </c>
      <c r="AT35" s="696">
        <f t="shared" si="13"/>
        <v>0</v>
      </c>
      <c r="AU35" s="696">
        <f t="shared" si="14"/>
        <v>0</v>
      </c>
      <c r="AV35" s="696"/>
      <c r="AW35" s="696">
        <f t="shared" si="15"/>
        <v>0</v>
      </c>
      <c r="AX35" s="696"/>
      <c r="AY35" s="696"/>
      <c r="AZ35" s="696">
        <f t="shared" si="16"/>
        <v>0</v>
      </c>
      <c r="BA35" s="238"/>
      <c r="BB35" s="1152"/>
      <c r="BC35" s="1156"/>
    </row>
    <row r="36" spans="1:56" s="1091" customFormat="1" ht="38.25" customHeight="1" x14ac:dyDescent="0.2">
      <c r="A36" s="18">
        <v>27</v>
      </c>
      <c r="B36" s="1100" t="s">
        <v>844</v>
      </c>
      <c r="C36" s="1101"/>
      <c r="D36" s="1102"/>
      <c r="E36" s="1103"/>
      <c r="F36" s="1103"/>
      <c r="G36" s="1104"/>
      <c r="H36" s="1104"/>
      <c r="I36" s="1105"/>
      <c r="J36" s="1104">
        <v>610.74</v>
      </c>
      <c r="K36" s="1103">
        <f t="shared" si="0"/>
        <v>610.74</v>
      </c>
      <c r="L36" s="1103"/>
      <c r="M36" s="1104">
        <f t="shared" si="1"/>
        <v>610.74</v>
      </c>
      <c r="N36" s="1104"/>
      <c r="O36" s="1103"/>
      <c r="P36" s="1104">
        <f t="shared" si="2"/>
        <v>610.74</v>
      </c>
      <c r="Q36" s="1106">
        <f>P36</f>
        <v>610.74</v>
      </c>
      <c r="R36" s="1103"/>
      <c r="S36" s="1104">
        <f t="shared" si="19"/>
        <v>610.74</v>
      </c>
      <c r="T36" s="1104">
        <v>77</v>
      </c>
      <c r="U36" s="1103">
        <v>62.53</v>
      </c>
      <c r="V36" s="1104">
        <f t="shared" si="3"/>
        <v>533.74</v>
      </c>
      <c r="W36" s="1104">
        <v>533.74</v>
      </c>
      <c r="X36" s="1090">
        <v>0</v>
      </c>
      <c r="Y36" s="1090">
        <f t="shared" si="4"/>
        <v>533.74</v>
      </c>
      <c r="Z36" s="1090">
        <v>77</v>
      </c>
      <c r="AA36" s="1097">
        <v>50.11</v>
      </c>
      <c r="AB36" s="1090">
        <f t="shared" si="5"/>
        <v>456.74</v>
      </c>
      <c r="AC36" s="1090">
        <v>456.74</v>
      </c>
      <c r="AD36" s="1090">
        <v>562.91999999999996</v>
      </c>
      <c r="AE36" s="1090">
        <f t="shared" si="6"/>
        <v>1019.66</v>
      </c>
      <c r="AF36" s="1090">
        <v>119.99</v>
      </c>
      <c r="AG36" s="1090">
        <f>[24]D9!$G$25</f>
        <v>42.42</v>
      </c>
      <c r="AH36" s="1090">
        <f t="shared" si="7"/>
        <v>899.67</v>
      </c>
      <c r="AI36" s="1592">
        <f t="shared" si="8"/>
        <v>899.67</v>
      </c>
      <c r="AJ36" s="1154">
        <v>184.76</v>
      </c>
      <c r="AK36" s="696">
        <f t="shared" si="9"/>
        <v>1084.4299999999998</v>
      </c>
      <c r="AL36" s="696">
        <v>134.82</v>
      </c>
      <c r="AM36" s="707">
        <v>90.14</v>
      </c>
      <c r="AN36" s="696">
        <f t="shared" si="10"/>
        <v>949.6099999999999</v>
      </c>
      <c r="AO36" s="696">
        <f t="shared" si="11"/>
        <v>949.6099999999999</v>
      </c>
      <c r="AP36" s="1090">
        <v>100.23</v>
      </c>
      <c r="AQ36" s="707">
        <f t="shared" si="12"/>
        <v>1049.8399999999999</v>
      </c>
      <c r="AR36" s="1090">
        <v>73.17</v>
      </c>
      <c r="AS36" s="707">
        <v>87.45</v>
      </c>
      <c r="AT36" s="696">
        <f t="shared" si="13"/>
        <v>976.67</v>
      </c>
      <c r="AU36" s="696">
        <f t="shared" si="14"/>
        <v>976.67</v>
      </c>
      <c r="AV36" s="696"/>
      <c r="AW36" s="696">
        <f t="shared" si="15"/>
        <v>976.67</v>
      </c>
      <c r="AX36" s="696">
        <v>139.04</v>
      </c>
      <c r="AY36" s="696">
        <v>107.4</v>
      </c>
      <c r="AZ36" s="696">
        <f t="shared" si="16"/>
        <v>837.63</v>
      </c>
      <c r="BA36" s="238" t="s">
        <v>1137</v>
      </c>
      <c r="BB36" s="1155">
        <v>8.3299999999999999E-2</v>
      </c>
      <c r="BC36" s="1157" t="s">
        <v>1136</v>
      </c>
      <c r="BD36" s="17"/>
    </row>
    <row r="37" spans="1:56" s="17" customFormat="1" x14ac:dyDescent="0.2">
      <c r="A37" s="18">
        <v>28</v>
      </c>
      <c r="B37" s="189" t="s">
        <v>845</v>
      </c>
      <c r="C37" s="244"/>
      <c r="D37" s="48"/>
      <c r="E37" s="238"/>
      <c r="F37" s="238"/>
      <c r="G37" s="21"/>
      <c r="H37" s="21"/>
      <c r="I37" s="414"/>
      <c r="J37" s="21">
        <v>248.16</v>
      </c>
      <c r="K37" s="238">
        <f t="shared" si="0"/>
        <v>248.16</v>
      </c>
      <c r="L37" s="238"/>
      <c r="M37" s="21">
        <f t="shared" si="1"/>
        <v>248.16</v>
      </c>
      <c r="N37" s="21"/>
      <c r="O37" s="238"/>
      <c r="P37" s="21">
        <f t="shared" si="2"/>
        <v>248.16</v>
      </c>
      <c r="Q37" s="239">
        <f>P37</f>
        <v>248.16</v>
      </c>
      <c r="R37" s="238"/>
      <c r="S37" s="21">
        <f t="shared" si="19"/>
        <v>248.16</v>
      </c>
      <c r="T37" s="21">
        <v>57.16</v>
      </c>
      <c r="U37" s="238">
        <v>27.5</v>
      </c>
      <c r="V37" s="21">
        <f t="shared" si="3"/>
        <v>191</v>
      </c>
      <c r="W37" s="21">
        <v>191</v>
      </c>
      <c r="X37" s="696">
        <v>0</v>
      </c>
      <c r="Y37" s="696">
        <f t="shared" si="4"/>
        <v>191</v>
      </c>
      <c r="Z37" s="696">
        <v>57.16</v>
      </c>
      <c r="AA37" s="707">
        <v>19.9934102</v>
      </c>
      <c r="AB37" s="696">
        <f t="shared" si="5"/>
        <v>133.84</v>
      </c>
      <c r="AC37" s="1090">
        <v>133.84</v>
      </c>
      <c r="AD37" s="1090"/>
      <c r="AE37" s="1090">
        <f t="shared" si="6"/>
        <v>133.84</v>
      </c>
      <c r="AF37" s="1090">
        <f>[24]D9!$F$26</f>
        <v>57.199999999999996</v>
      </c>
      <c r="AG37" s="1090">
        <v>29.46</v>
      </c>
      <c r="AH37" s="1090">
        <f t="shared" si="7"/>
        <v>76.640000000000015</v>
      </c>
      <c r="AI37" s="696">
        <f t="shared" si="8"/>
        <v>76.640000000000015</v>
      </c>
      <c r="AJ37" s="696">
        <v>284.11</v>
      </c>
      <c r="AK37" s="696">
        <f t="shared" si="9"/>
        <v>360.75</v>
      </c>
      <c r="AL37" s="696">
        <v>78.11</v>
      </c>
      <c r="AM37" s="707">
        <v>23.66</v>
      </c>
      <c r="AN37" s="696">
        <f t="shared" si="10"/>
        <v>282.64</v>
      </c>
      <c r="AO37" s="696">
        <f t="shared" si="11"/>
        <v>282.64</v>
      </c>
      <c r="AP37" s="696">
        <v>54.89</v>
      </c>
      <c r="AQ37" s="707">
        <f t="shared" si="12"/>
        <v>337.53</v>
      </c>
      <c r="AR37" s="696">
        <v>58.48</v>
      </c>
      <c r="AS37" s="707">
        <v>28.29</v>
      </c>
      <c r="AT37" s="696">
        <f t="shared" si="13"/>
        <v>279.04999999999995</v>
      </c>
      <c r="AU37" s="696">
        <f t="shared" si="14"/>
        <v>279.04999999999995</v>
      </c>
      <c r="AV37" s="696"/>
      <c r="AW37" s="696">
        <f t="shared" si="15"/>
        <v>279.04999999999995</v>
      </c>
      <c r="AX37" s="696">
        <v>81.95</v>
      </c>
      <c r="AY37" s="696">
        <v>30.7</v>
      </c>
      <c r="AZ37" s="696">
        <f t="shared" si="16"/>
        <v>197.09999999999997</v>
      </c>
      <c r="BA37" s="238" t="s">
        <v>1194</v>
      </c>
      <c r="BB37" s="1152">
        <v>8.3799999999999999E-2</v>
      </c>
      <c r="BC37" s="1157" t="s">
        <v>1136</v>
      </c>
    </row>
    <row r="38" spans="1:56" s="17" customFormat="1" x14ac:dyDescent="0.2">
      <c r="A38" s="18">
        <v>29</v>
      </c>
      <c r="B38" s="189" t="s">
        <v>846</v>
      </c>
      <c r="C38" s="244"/>
      <c r="D38" s="48"/>
      <c r="E38" s="238"/>
      <c r="F38" s="238"/>
      <c r="G38" s="21"/>
      <c r="H38" s="21"/>
      <c r="I38" s="414"/>
      <c r="J38" s="21">
        <v>100</v>
      </c>
      <c r="K38" s="238">
        <f t="shared" si="0"/>
        <v>100</v>
      </c>
      <c r="L38" s="238"/>
      <c r="M38" s="21">
        <f t="shared" si="1"/>
        <v>100</v>
      </c>
      <c r="N38" s="21"/>
      <c r="O38" s="238"/>
      <c r="P38" s="21">
        <f t="shared" si="2"/>
        <v>100</v>
      </c>
      <c r="Q38" s="239">
        <f>P38</f>
        <v>100</v>
      </c>
      <c r="R38" s="238"/>
      <c r="S38" s="21">
        <f t="shared" si="19"/>
        <v>100</v>
      </c>
      <c r="T38" s="21">
        <v>2.5</v>
      </c>
      <c r="U38" s="238">
        <v>9.8699999999999992</v>
      </c>
      <c r="V38" s="21">
        <f t="shared" si="3"/>
        <v>97.5</v>
      </c>
      <c r="W38" s="21"/>
      <c r="X38" s="696">
        <v>0</v>
      </c>
      <c r="Y38" s="696">
        <f t="shared" si="4"/>
        <v>0</v>
      </c>
      <c r="Z38" s="696">
        <v>0</v>
      </c>
      <c r="AA38" s="707">
        <v>9.0990403999999998</v>
      </c>
      <c r="AB38" s="696">
        <f t="shared" si="5"/>
        <v>0</v>
      </c>
      <c r="AC38" s="1090">
        <v>0</v>
      </c>
      <c r="AD38" s="1090"/>
      <c r="AE38" s="1090">
        <f t="shared" si="6"/>
        <v>0</v>
      </c>
      <c r="AF38" s="1090"/>
      <c r="AG38" s="1090"/>
      <c r="AH38" s="1090">
        <f t="shared" si="7"/>
        <v>0</v>
      </c>
      <c r="AI38" s="696">
        <f t="shared" si="8"/>
        <v>0</v>
      </c>
      <c r="AJ38" s="696"/>
      <c r="AK38" s="696">
        <f t="shared" si="9"/>
        <v>0</v>
      </c>
      <c r="AL38" s="696"/>
      <c r="AM38" s="707">
        <v>10.87</v>
      </c>
      <c r="AN38" s="696">
        <f t="shared" si="10"/>
        <v>0</v>
      </c>
      <c r="AO38" s="696">
        <f t="shared" si="11"/>
        <v>0</v>
      </c>
      <c r="AP38" s="696"/>
      <c r="AQ38" s="707">
        <f t="shared" si="12"/>
        <v>0</v>
      </c>
      <c r="AR38" s="696">
        <v>0</v>
      </c>
      <c r="AS38" s="707">
        <f>AQ38*0.103</f>
        <v>0</v>
      </c>
      <c r="AT38" s="696">
        <f t="shared" si="13"/>
        <v>0</v>
      </c>
      <c r="AU38" s="696">
        <f t="shared" si="14"/>
        <v>0</v>
      </c>
      <c r="AV38" s="696"/>
      <c r="AW38" s="696">
        <f t="shared" si="15"/>
        <v>0</v>
      </c>
      <c r="AX38" s="696"/>
      <c r="AY38" s="696"/>
      <c r="AZ38" s="696">
        <f t="shared" si="16"/>
        <v>0</v>
      </c>
      <c r="BA38" s="238"/>
      <c r="BB38" s="238"/>
      <c r="BC38" s="1156"/>
    </row>
    <row r="39" spans="1:56" s="17" customFormat="1" x14ac:dyDescent="0.2">
      <c r="A39" s="18">
        <v>30</v>
      </c>
      <c r="B39" s="189" t="s">
        <v>1181</v>
      </c>
      <c r="C39" s="244"/>
      <c r="D39" s="48"/>
      <c r="E39" s="414"/>
      <c r="F39" s="414"/>
      <c r="G39" s="415"/>
      <c r="H39" s="415"/>
      <c r="I39" s="414"/>
      <c r="J39" s="21"/>
      <c r="K39" s="238"/>
      <c r="L39" s="238">
        <v>200.24</v>
      </c>
      <c r="M39" s="21">
        <f t="shared" si="1"/>
        <v>200.24</v>
      </c>
      <c r="N39" s="21"/>
      <c r="O39" s="238"/>
      <c r="P39" s="21">
        <f t="shared" si="2"/>
        <v>200.24</v>
      </c>
      <c r="Q39" s="239">
        <f>+P39</f>
        <v>200.24</v>
      </c>
      <c r="R39" s="238"/>
      <c r="S39" s="21">
        <f t="shared" si="19"/>
        <v>200.24</v>
      </c>
      <c r="T39" s="21"/>
      <c r="U39" s="238"/>
      <c r="V39" s="21"/>
      <c r="W39" s="696">
        <f>'[26]D-9'!$C$36</f>
        <v>0</v>
      </c>
      <c r="X39" s="696">
        <v>75</v>
      </c>
      <c r="Y39" s="696">
        <f t="shared" si="4"/>
        <v>75</v>
      </c>
      <c r="Z39" s="696">
        <v>0</v>
      </c>
      <c r="AA39" s="707">
        <v>1.7054799999999998E-2</v>
      </c>
      <c r="AB39" s="696">
        <f t="shared" si="5"/>
        <v>75</v>
      </c>
      <c r="AC39" s="1090">
        <v>75</v>
      </c>
      <c r="AD39" s="1090">
        <f>[24]D9!$D$28</f>
        <v>4.53</v>
      </c>
      <c r="AE39" s="1090">
        <f t="shared" si="6"/>
        <v>79.53</v>
      </c>
      <c r="AF39" s="1090">
        <v>3.36</v>
      </c>
      <c r="AG39" s="1090">
        <f>[24]D9!$G$28</f>
        <v>6.29</v>
      </c>
      <c r="AH39" s="1090">
        <f t="shared" si="7"/>
        <v>76.17</v>
      </c>
      <c r="AI39" s="707">
        <f t="shared" si="8"/>
        <v>76.17</v>
      </c>
      <c r="AJ39" s="707">
        <v>67.584000000000003</v>
      </c>
      <c r="AK39" s="696">
        <f t="shared" si="9"/>
        <v>143.75400000000002</v>
      </c>
      <c r="AL39" s="696">
        <v>10.08</v>
      </c>
      <c r="AM39" s="707">
        <v>0</v>
      </c>
      <c r="AN39" s="707">
        <f t="shared" si="10"/>
        <v>133.67400000000001</v>
      </c>
      <c r="AO39" s="696">
        <f t="shared" si="11"/>
        <v>133.67400000000001</v>
      </c>
      <c r="AP39" s="696">
        <v>65.25</v>
      </c>
      <c r="AQ39" s="707">
        <f t="shared" si="12"/>
        <v>198.92400000000001</v>
      </c>
      <c r="AR39" s="696">
        <v>16.8</v>
      </c>
      <c r="AS39" s="707">
        <v>15.81</v>
      </c>
      <c r="AT39" s="696">
        <f t="shared" si="13"/>
        <v>182.124</v>
      </c>
      <c r="AU39" s="696">
        <f t="shared" si="14"/>
        <v>182.124</v>
      </c>
      <c r="AV39" s="696"/>
      <c r="AW39" s="696">
        <f t="shared" si="15"/>
        <v>182.124</v>
      </c>
      <c r="AX39" s="696">
        <v>22.59</v>
      </c>
      <c r="AY39" s="696">
        <v>20.03</v>
      </c>
      <c r="AZ39" s="696">
        <f t="shared" si="16"/>
        <v>159.53399999999999</v>
      </c>
      <c r="BA39" s="238" t="s">
        <v>1137</v>
      </c>
      <c r="BB39" s="1152">
        <v>7.9500000000000001E-2</v>
      </c>
      <c r="BC39" s="1157" t="s">
        <v>1136</v>
      </c>
    </row>
    <row r="40" spans="1:56" s="17" customFormat="1" x14ac:dyDescent="0.2">
      <c r="A40" s="18">
        <v>31</v>
      </c>
      <c r="B40" s="189" t="s">
        <v>941</v>
      </c>
      <c r="C40" s="244"/>
      <c r="D40" s="48"/>
      <c r="E40" s="414"/>
      <c r="F40" s="414"/>
      <c r="G40" s="415"/>
      <c r="H40" s="415"/>
      <c r="I40" s="414"/>
      <c r="J40" s="21"/>
      <c r="K40" s="238"/>
      <c r="L40" s="238"/>
      <c r="M40" s="21"/>
      <c r="N40" s="21"/>
      <c r="O40" s="238"/>
      <c r="P40" s="21"/>
      <c r="Q40" s="239"/>
      <c r="R40" s="238"/>
      <c r="S40" s="21"/>
      <c r="T40" s="21"/>
      <c r="U40" s="238"/>
      <c r="V40" s="21"/>
      <c r="W40" s="696"/>
      <c r="X40" s="696"/>
      <c r="Y40" s="696"/>
      <c r="Z40" s="696"/>
      <c r="AA40" s="707"/>
      <c r="AB40" s="696"/>
      <c r="AC40" s="1090"/>
      <c r="AD40" s="1090"/>
      <c r="AE40" s="1090">
        <f t="shared" si="6"/>
        <v>0</v>
      </c>
      <c r="AF40" s="1090"/>
      <c r="AG40" s="1090"/>
      <c r="AH40" s="1090">
        <f t="shared" si="7"/>
        <v>0</v>
      </c>
      <c r="AI40" s="696">
        <f t="shared" si="8"/>
        <v>0</v>
      </c>
      <c r="AJ40" s="696"/>
      <c r="AK40" s="696">
        <f t="shared" si="9"/>
        <v>0</v>
      </c>
      <c r="AL40" s="696"/>
      <c r="AM40" s="707">
        <v>0</v>
      </c>
      <c r="AN40" s="696">
        <f t="shared" si="10"/>
        <v>0</v>
      </c>
      <c r="AO40" s="696">
        <f t="shared" si="11"/>
        <v>0</v>
      </c>
      <c r="AP40" s="696"/>
      <c r="AQ40" s="707">
        <f t="shared" si="12"/>
        <v>0</v>
      </c>
      <c r="AR40" s="696">
        <v>0</v>
      </c>
      <c r="AS40" s="696"/>
      <c r="AT40" s="696">
        <f t="shared" si="13"/>
        <v>0</v>
      </c>
      <c r="AU40" s="696">
        <f t="shared" si="14"/>
        <v>0</v>
      </c>
      <c r="AV40" s="696"/>
      <c r="AW40" s="696">
        <f t="shared" si="15"/>
        <v>0</v>
      </c>
      <c r="AX40" s="696"/>
      <c r="AY40" s="696"/>
      <c r="AZ40" s="696">
        <f t="shared" si="16"/>
        <v>0</v>
      </c>
      <c r="BA40" s="238"/>
      <c r="BB40" s="238"/>
      <c r="BC40" s="1156"/>
    </row>
    <row r="41" spans="1:56" s="17" customFormat="1" x14ac:dyDescent="0.2">
      <c r="A41" s="18">
        <v>32</v>
      </c>
      <c r="B41" s="189" t="s">
        <v>942</v>
      </c>
      <c r="C41" s="244"/>
      <c r="D41" s="48"/>
      <c r="E41" s="414"/>
      <c r="F41" s="414"/>
      <c r="G41" s="415"/>
      <c r="H41" s="415"/>
      <c r="I41" s="414"/>
      <c r="J41" s="21"/>
      <c r="K41" s="238"/>
      <c r="L41" s="238"/>
      <c r="M41" s="21"/>
      <c r="N41" s="21"/>
      <c r="O41" s="238"/>
      <c r="P41" s="21"/>
      <c r="Q41" s="239"/>
      <c r="R41" s="238"/>
      <c r="S41" s="21"/>
      <c r="T41" s="21"/>
      <c r="U41" s="238"/>
      <c r="V41" s="21"/>
      <c r="W41" s="696"/>
      <c r="X41" s="696"/>
      <c r="Y41" s="696"/>
      <c r="Z41" s="696"/>
      <c r="AA41" s="707"/>
      <c r="AB41" s="696"/>
      <c r="AC41" s="1090"/>
      <c r="AD41" s="1090"/>
      <c r="AE41" s="1090">
        <f t="shared" si="6"/>
        <v>0</v>
      </c>
      <c r="AF41" s="1090"/>
      <c r="AG41" s="1090"/>
      <c r="AH41" s="1090">
        <f t="shared" si="7"/>
        <v>0</v>
      </c>
      <c r="AI41" s="696">
        <f t="shared" si="8"/>
        <v>0</v>
      </c>
      <c r="AJ41" s="696"/>
      <c r="AK41" s="696">
        <f t="shared" si="9"/>
        <v>0</v>
      </c>
      <c r="AL41" s="696"/>
      <c r="AM41" s="707">
        <v>0</v>
      </c>
      <c r="AN41" s="696">
        <f t="shared" si="10"/>
        <v>0</v>
      </c>
      <c r="AO41" s="696">
        <f t="shared" si="11"/>
        <v>0</v>
      </c>
      <c r="AP41" s="696"/>
      <c r="AQ41" s="707">
        <f t="shared" si="12"/>
        <v>0</v>
      </c>
      <c r="AR41" s="696">
        <v>0</v>
      </c>
      <c r="AS41" s="696"/>
      <c r="AT41" s="696">
        <f t="shared" si="13"/>
        <v>0</v>
      </c>
      <c r="AU41" s="696">
        <f t="shared" si="14"/>
        <v>0</v>
      </c>
      <c r="AV41" s="696"/>
      <c r="AW41" s="696">
        <f t="shared" si="15"/>
        <v>0</v>
      </c>
      <c r="AX41" s="696"/>
      <c r="AY41" s="696"/>
      <c r="AZ41" s="696">
        <f t="shared" si="16"/>
        <v>0</v>
      </c>
      <c r="BA41" s="238"/>
      <c r="BB41" s="238"/>
      <c r="BC41" s="1156"/>
    </row>
    <row r="42" spans="1:56" s="17" customFormat="1" x14ac:dyDescent="0.2">
      <c r="A42" s="18">
        <v>33</v>
      </c>
      <c r="B42" s="189" t="s">
        <v>1182</v>
      </c>
      <c r="C42" s="244"/>
      <c r="D42" s="48"/>
      <c r="E42" s="414"/>
      <c r="F42" s="414"/>
      <c r="G42" s="415"/>
      <c r="H42" s="415"/>
      <c r="I42" s="414"/>
      <c r="J42" s="21"/>
      <c r="K42" s="238"/>
      <c r="L42" s="238"/>
      <c r="M42" s="21"/>
      <c r="N42" s="21"/>
      <c r="O42" s="238"/>
      <c r="P42" s="21"/>
      <c r="Q42" s="239"/>
      <c r="R42" s="238"/>
      <c r="S42" s="21"/>
      <c r="T42" s="21"/>
      <c r="U42" s="238"/>
      <c r="V42" s="21"/>
      <c r="W42" s="696"/>
      <c r="X42" s="696"/>
      <c r="Y42" s="696"/>
      <c r="Z42" s="696"/>
      <c r="AA42" s="707"/>
      <c r="AB42" s="696"/>
      <c r="AC42" s="1090"/>
      <c r="AD42" s="1090"/>
      <c r="AE42" s="1090">
        <f t="shared" si="6"/>
        <v>0</v>
      </c>
      <c r="AF42" s="1090"/>
      <c r="AG42" s="1090"/>
      <c r="AH42" s="1090">
        <f t="shared" si="7"/>
        <v>0</v>
      </c>
      <c r="AI42" s="696">
        <f t="shared" si="8"/>
        <v>0</v>
      </c>
      <c r="AJ42" s="696"/>
      <c r="AK42" s="696">
        <f t="shared" si="9"/>
        <v>0</v>
      </c>
      <c r="AL42" s="696"/>
      <c r="AM42" s="707">
        <f>AK42*0.0915</f>
        <v>0</v>
      </c>
      <c r="AN42" s="696">
        <f t="shared" si="10"/>
        <v>0</v>
      </c>
      <c r="AO42" s="696">
        <f t="shared" si="11"/>
        <v>0</v>
      </c>
      <c r="AP42" s="696"/>
      <c r="AQ42" s="707">
        <f t="shared" si="12"/>
        <v>0</v>
      </c>
      <c r="AR42" s="696"/>
      <c r="AS42" s="707">
        <f>AQ42*0.1145</f>
        <v>0</v>
      </c>
      <c r="AT42" s="696">
        <f t="shared" si="13"/>
        <v>0</v>
      </c>
      <c r="AU42" s="696">
        <f t="shared" si="14"/>
        <v>0</v>
      </c>
      <c r="AV42" s="696"/>
      <c r="AW42" s="696">
        <f t="shared" si="15"/>
        <v>0</v>
      </c>
      <c r="AX42" s="696"/>
      <c r="AY42" s="696"/>
      <c r="AZ42" s="696">
        <f t="shared" si="16"/>
        <v>0</v>
      </c>
      <c r="BA42" s="238"/>
      <c r="BB42" s="1155"/>
      <c r="BC42" s="1157"/>
    </row>
    <row r="43" spans="1:56" s="17" customFormat="1" x14ac:dyDescent="0.2">
      <c r="A43" s="18">
        <v>34</v>
      </c>
      <c r="B43" s="189" t="s">
        <v>845</v>
      </c>
      <c r="C43" s="244"/>
      <c r="D43" s="48"/>
      <c r="E43" s="414"/>
      <c r="F43" s="414"/>
      <c r="G43" s="415"/>
      <c r="H43" s="415"/>
      <c r="I43" s="414"/>
      <c r="J43" s="21"/>
      <c r="K43" s="238"/>
      <c r="L43" s="238"/>
      <c r="M43" s="21"/>
      <c r="N43" s="21"/>
      <c r="O43" s="238"/>
      <c r="P43" s="21"/>
      <c r="Q43" s="239"/>
      <c r="R43" s="238"/>
      <c r="S43" s="21"/>
      <c r="T43" s="21"/>
      <c r="U43" s="238"/>
      <c r="V43" s="21"/>
      <c r="W43" s="696"/>
      <c r="X43" s="696"/>
      <c r="Y43" s="696"/>
      <c r="Z43" s="696"/>
      <c r="AA43" s="707"/>
      <c r="AB43" s="696"/>
      <c r="AC43" s="1090"/>
      <c r="AD43" s="1090"/>
      <c r="AE43" s="1090"/>
      <c r="AF43" s="1090"/>
      <c r="AG43" s="1090"/>
      <c r="AH43" s="1090"/>
      <c r="AI43" s="696"/>
      <c r="AJ43" s="696"/>
      <c r="AK43" s="696">
        <f t="shared" si="9"/>
        <v>0</v>
      </c>
      <c r="AL43" s="696"/>
      <c r="AM43" s="707">
        <f>AK43*0.0915</f>
        <v>0</v>
      </c>
      <c r="AN43" s="1088">
        <f t="shared" si="10"/>
        <v>0</v>
      </c>
      <c r="AO43" s="696">
        <f t="shared" si="11"/>
        <v>0</v>
      </c>
      <c r="AP43" s="696"/>
      <c r="AQ43" s="707">
        <f t="shared" si="12"/>
        <v>0</v>
      </c>
      <c r="AR43" s="696">
        <v>0</v>
      </c>
      <c r="AS43" s="707">
        <f>AQ43*0.1145</f>
        <v>0</v>
      </c>
      <c r="AT43" s="696">
        <f t="shared" si="13"/>
        <v>0</v>
      </c>
      <c r="AU43" s="696">
        <f t="shared" si="14"/>
        <v>0</v>
      </c>
      <c r="AV43" s="696"/>
      <c r="AW43" s="696">
        <f t="shared" si="15"/>
        <v>0</v>
      </c>
      <c r="AX43" s="696"/>
      <c r="AY43" s="696"/>
      <c r="AZ43" s="696">
        <f t="shared" si="16"/>
        <v>0</v>
      </c>
      <c r="BA43" s="238"/>
      <c r="BB43" s="1152"/>
      <c r="BC43" s="1157"/>
    </row>
    <row r="44" spans="1:56" s="17" customFormat="1" x14ac:dyDescent="0.2">
      <c r="A44" s="18">
        <v>35</v>
      </c>
      <c r="B44" s="189" t="s">
        <v>1112</v>
      </c>
      <c r="C44" s="244"/>
      <c r="D44" s="48"/>
      <c r="E44" s="414"/>
      <c r="F44" s="414"/>
      <c r="G44" s="415"/>
      <c r="H44" s="415"/>
      <c r="I44" s="414"/>
      <c r="J44" s="21"/>
      <c r="K44" s="238"/>
      <c r="L44" s="238"/>
      <c r="M44" s="21"/>
      <c r="N44" s="21"/>
      <c r="O44" s="238"/>
      <c r="P44" s="21"/>
      <c r="Q44" s="239"/>
      <c r="R44" s="238"/>
      <c r="S44" s="21"/>
      <c r="T44" s="21"/>
      <c r="U44" s="238"/>
      <c r="V44" s="21"/>
      <c r="W44" s="696"/>
      <c r="X44" s="696"/>
      <c r="Y44" s="696"/>
      <c r="Z44" s="696"/>
      <c r="AA44" s="707"/>
      <c r="AB44" s="696"/>
      <c r="AC44" s="1090"/>
      <c r="AD44" s="1090"/>
      <c r="AE44" s="1090"/>
      <c r="AF44" s="1090"/>
      <c r="AG44" s="1090"/>
      <c r="AH44" s="1090"/>
      <c r="AI44" s="696"/>
      <c r="AJ44" s="696"/>
      <c r="AK44" s="696">
        <f t="shared" si="9"/>
        <v>0</v>
      </c>
      <c r="AL44" s="696"/>
      <c r="AM44" s="707">
        <f>AK44*0.0915</f>
        <v>0</v>
      </c>
      <c r="AN44" s="1088">
        <f t="shared" si="10"/>
        <v>0</v>
      </c>
      <c r="AO44" s="696">
        <f t="shared" si="11"/>
        <v>0</v>
      </c>
      <c r="AP44" s="696"/>
      <c r="AQ44" s="707">
        <f t="shared" si="12"/>
        <v>0</v>
      </c>
      <c r="AR44" s="696"/>
      <c r="AS44" s="707">
        <f>AQ44*0.1145</f>
        <v>0</v>
      </c>
      <c r="AT44" s="696">
        <f t="shared" si="13"/>
        <v>0</v>
      </c>
      <c r="AU44" s="696">
        <f t="shared" si="14"/>
        <v>0</v>
      </c>
      <c r="AV44" s="696"/>
      <c r="AW44" s="696">
        <f t="shared" si="15"/>
        <v>0</v>
      </c>
      <c r="AX44" s="696"/>
      <c r="AY44" s="696"/>
      <c r="AZ44" s="696">
        <f t="shared" si="16"/>
        <v>0</v>
      </c>
      <c r="BA44" s="238"/>
      <c r="BB44" s="1155"/>
      <c r="BC44" s="1156"/>
    </row>
    <row r="45" spans="1:56" s="17" customFormat="1" x14ac:dyDescent="0.2">
      <c r="A45" s="18">
        <v>36</v>
      </c>
      <c r="B45" s="189" t="s">
        <v>1183</v>
      </c>
      <c r="C45" s="244"/>
      <c r="D45" s="48"/>
      <c r="E45" s="414"/>
      <c r="F45" s="414"/>
      <c r="G45" s="415"/>
      <c r="H45" s="415"/>
      <c r="I45" s="414"/>
      <c r="J45" s="21"/>
      <c r="K45" s="238"/>
      <c r="L45" s="238"/>
      <c r="M45" s="21"/>
      <c r="N45" s="21"/>
      <c r="O45" s="238"/>
      <c r="P45" s="21"/>
      <c r="Q45" s="239"/>
      <c r="R45" s="238"/>
      <c r="S45" s="21"/>
      <c r="T45" s="21"/>
      <c r="U45" s="238"/>
      <c r="V45" s="21"/>
      <c r="W45" s="696"/>
      <c r="X45" s="696"/>
      <c r="Y45" s="696"/>
      <c r="Z45" s="696"/>
      <c r="AA45" s="707"/>
      <c r="AB45" s="696"/>
      <c r="AC45" s="1090"/>
      <c r="AD45" s="1090"/>
      <c r="AE45" s="1090"/>
      <c r="AF45" s="1090"/>
      <c r="AG45" s="1090"/>
      <c r="AH45" s="1090"/>
      <c r="AI45" s="696"/>
      <c r="AJ45" s="696"/>
      <c r="AK45" s="696">
        <f t="shared" si="9"/>
        <v>0</v>
      </c>
      <c r="AL45" s="696"/>
      <c r="AM45" s="707">
        <f>AK45*0.0915</f>
        <v>0</v>
      </c>
      <c r="AN45" s="1088">
        <f t="shared" si="10"/>
        <v>0</v>
      </c>
      <c r="AO45" s="696">
        <f t="shared" si="11"/>
        <v>0</v>
      </c>
      <c r="AP45" s="696">
        <v>278.43</v>
      </c>
      <c r="AQ45" s="707">
        <f t="shared" si="12"/>
        <v>278.43</v>
      </c>
      <c r="AR45" s="696"/>
      <c r="AS45" s="707">
        <v>18.100000000000001</v>
      </c>
      <c r="AT45" s="696">
        <f t="shared" si="13"/>
        <v>278.43</v>
      </c>
      <c r="AU45" s="696">
        <f t="shared" si="14"/>
        <v>278.43</v>
      </c>
      <c r="AV45" s="696">
        <v>121.57</v>
      </c>
      <c r="AW45" s="696">
        <f t="shared" si="15"/>
        <v>400</v>
      </c>
      <c r="AX45" s="696"/>
      <c r="AY45" s="696">
        <v>10.41</v>
      </c>
      <c r="AZ45" s="696">
        <f t="shared" si="16"/>
        <v>400</v>
      </c>
      <c r="BA45" s="238" t="s">
        <v>1137</v>
      </c>
      <c r="BB45" s="1155">
        <v>6.5000000000000002E-2</v>
      </c>
      <c r="BC45" s="1156" t="s">
        <v>1138</v>
      </c>
      <c r="BD45" s="1596"/>
    </row>
    <row r="46" spans="1:56" s="17" customFormat="1" x14ac:dyDescent="0.2">
      <c r="A46" s="18">
        <v>37</v>
      </c>
      <c r="B46" s="189" t="s">
        <v>1184</v>
      </c>
      <c r="C46" s="244"/>
      <c r="D46" s="48"/>
      <c r="E46" s="414"/>
      <c r="F46" s="414"/>
      <c r="G46" s="415"/>
      <c r="H46" s="415"/>
      <c r="I46" s="414"/>
      <c r="J46" s="21"/>
      <c r="K46" s="238"/>
      <c r="L46" s="238"/>
      <c r="M46" s="21"/>
      <c r="N46" s="21"/>
      <c r="O46" s="238"/>
      <c r="P46" s="21"/>
      <c r="Q46" s="239"/>
      <c r="R46" s="238"/>
      <c r="S46" s="21"/>
      <c r="T46" s="21"/>
      <c r="U46" s="238"/>
      <c r="V46" s="21"/>
      <c r="W46" s="696"/>
      <c r="X46" s="696"/>
      <c r="Y46" s="696"/>
      <c r="Z46" s="696"/>
      <c r="AA46" s="707"/>
      <c r="AB46" s="696"/>
      <c r="AC46" s="1090"/>
      <c r="AD46" s="1090"/>
      <c r="AE46" s="1090"/>
      <c r="AF46" s="1090"/>
      <c r="AG46" s="1090"/>
      <c r="AH46" s="1090"/>
      <c r="AI46" s="696"/>
      <c r="AJ46" s="696"/>
      <c r="AK46" s="696">
        <f t="shared" si="9"/>
        <v>0</v>
      </c>
      <c r="AL46" s="696"/>
      <c r="AM46" s="707">
        <f>AK46*0.0915</f>
        <v>0</v>
      </c>
      <c r="AN46" s="1088">
        <f t="shared" si="10"/>
        <v>0</v>
      </c>
      <c r="AO46" s="696">
        <f t="shared" si="11"/>
        <v>0</v>
      </c>
      <c r="AP46" s="696">
        <f>36-13.35</f>
        <v>22.65</v>
      </c>
      <c r="AQ46" s="707">
        <f t="shared" si="12"/>
        <v>22.65</v>
      </c>
      <c r="AR46" s="696"/>
      <c r="AS46" s="707">
        <v>0.71</v>
      </c>
      <c r="AT46" s="696">
        <f t="shared" si="13"/>
        <v>22.65</v>
      </c>
      <c r="AU46" s="696">
        <f t="shared" si="14"/>
        <v>22.65</v>
      </c>
      <c r="AV46" s="696">
        <v>72</v>
      </c>
      <c r="AW46" s="696">
        <f t="shared" si="15"/>
        <v>94.65</v>
      </c>
      <c r="AX46" s="696">
        <v>2.7</v>
      </c>
      <c r="AY46" s="696">
        <v>35.75</v>
      </c>
      <c r="AZ46" s="696">
        <f t="shared" si="16"/>
        <v>91.95</v>
      </c>
      <c r="BA46" s="238" t="s">
        <v>1195</v>
      </c>
      <c r="BB46" s="1155">
        <v>7.85E-2</v>
      </c>
      <c r="BC46" s="1157" t="s">
        <v>1196</v>
      </c>
    </row>
    <row r="47" spans="1:56" s="17" customFormat="1" x14ac:dyDescent="0.2">
      <c r="A47" s="18">
        <v>38</v>
      </c>
      <c r="B47" s="189" t="s">
        <v>1186</v>
      </c>
      <c r="C47" s="244"/>
      <c r="D47" s="48"/>
      <c r="E47" s="414"/>
      <c r="F47" s="414"/>
      <c r="G47" s="415"/>
      <c r="H47" s="415"/>
      <c r="I47" s="414"/>
      <c r="J47" s="21"/>
      <c r="K47" s="238"/>
      <c r="L47" s="238"/>
      <c r="M47" s="21"/>
      <c r="N47" s="21"/>
      <c r="O47" s="238"/>
      <c r="P47" s="21"/>
      <c r="Q47" s="239"/>
      <c r="R47" s="238"/>
      <c r="S47" s="21"/>
      <c r="T47" s="21"/>
      <c r="U47" s="238"/>
      <c r="V47" s="21"/>
      <c r="W47" s="696"/>
      <c r="X47" s="696"/>
      <c r="Y47" s="696"/>
      <c r="Z47" s="696"/>
      <c r="AA47" s="707"/>
      <c r="AB47" s="696"/>
      <c r="AC47" s="1090"/>
      <c r="AD47" s="1090"/>
      <c r="AE47" s="1090"/>
      <c r="AF47" s="1090"/>
      <c r="AG47" s="1090"/>
      <c r="AH47" s="1090"/>
      <c r="AI47" s="696"/>
      <c r="AJ47" s="696"/>
      <c r="AK47" s="696">
        <f t="shared" si="9"/>
        <v>0</v>
      </c>
      <c r="AL47" s="696"/>
      <c r="AM47" s="707">
        <v>0</v>
      </c>
      <c r="AN47" s="696">
        <f t="shared" si="10"/>
        <v>0</v>
      </c>
      <c r="AO47" s="696">
        <f t="shared" si="11"/>
        <v>0</v>
      </c>
      <c r="AP47" s="696">
        <f>70-20</f>
        <v>50</v>
      </c>
      <c r="AQ47" s="707">
        <f t="shared" si="12"/>
        <v>50</v>
      </c>
      <c r="AR47" s="696">
        <v>0</v>
      </c>
      <c r="AS47" s="707">
        <v>0.19</v>
      </c>
      <c r="AT47" s="696">
        <f t="shared" si="13"/>
        <v>50</v>
      </c>
      <c r="AU47" s="696">
        <f t="shared" si="14"/>
        <v>50</v>
      </c>
      <c r="AV47" s="696">
        <v>275</v>
      </c>
      <c r="AW47" s="696">
        <f t="shared" si="15"/>
        <v>325</v>
      </c>
      <c r="AX47" s="696"/>
      <c r="AY47" s="696">
        <v>30.46</v>
      </c>
      <c r="AZ47" s="696">
        <f t="shared" si="16"/>
        <v>325</v>
      </c>
      <c r="BA47" s="238" t="s">
        <v>1197</v>
      </c>
      <c r="BB47" s="1155">
        <v>1.0800000000000001E-2</v>
      </c>
      <c r="BC47" s="1157" t="s">
        <v>1138</v>
      </c>
    </row>
    <row r="48" spans="1:56" s="17" customFormat="1" x14ac:dyDescent="0.2">
      <c r="A48" s="18">
        <v>39</v>
      </c>
      <c r="B48" s="189" t="s">
        <v>1185</v>
      </c>
      <c r="C48" s="244"/>
      <c r="D48" s="48"/>
      <c r="E48" s="414"/>
      <c r="F48" s="414"/>
      <c r="G48" s="415"/>
      <c r="H48" s="415"/>
      <c r="I48" s="414"/>
      <c r="J48" s="21"/>
      <c r="K48" s="238"/>
      <c r="L48" s="238"/>
      <c r="M48" s="21"/>
      <c r="N48" s="21"/>
      <c r="O48" s="238"/>
      <c r="P48" s="21"/>
      <c r="Q48" s="239"/>
      <c r="R48" s="238"/>
      <c r="S48" s="21"/>
      <c r="T48" s="21"/>
      <c r="U48" s="238"/>
      <c r="V48" s="21"/>
      <c r="W48" s="696"/>
      <c r="X48" s="696"/>
      <c r="Y48" s="696"/>
      <c r="Z48" s="696"/>
      <c r="AA48" s="707"/>
      <c r="AB48" s="696"/>
      <c r="AC48" s="1090"/>
      <c r="AD48" s="1090"/>
      <c r="AE48" s="1090"/>
      <c r="AF48" s="1090"/>
      <c r="AG48" s="1090"/>
      <c r="AH48" s="1090"/>
      <c r="AI48" s="696"/>
      <c r="AJ48" s="696"/>
      <c r="AK48" s="696">
        <f>AI48+AJ48</f>
        <v>0</v>
      </c>
      <c r="AL48" s="696"/>
      <c r="AM48" s="707"/>
      <c r="AN48" s="696">
        <f>AK48-AL48</f>
        <v>0</v>
      </c>
      <c r="AO48" s="696">
        <f>AN48</f>
        <v>0</v>
      </c>
      <c r="AP48" s="696">
        <v>380</v>
      </c>
      <c r="AQ48" s="707">
        <f t="shared" si="12"/>
        <v>380</v>
      </c>
      <c r="AR48" s="696"/>
      <c r="AS48" s="707">
        <v>8.3000000000000007</v>
      </c>
      <c r="AT48" s="696">
        <f t="shared" si="13"/>
        <v>380</v>
      </c>
      <c r="AU48" s="696">
        <f t="shared" si="14"/>
        <v>380</v>
      </c>
      <c r="AV48" s="696">
        <v>286</v>
      </c>
      <c r="AW48" s="696">
        <f t="shared" si="15"/>
        <v>666</v>
      </c>
      <c r="AX48" s="696"/>
      <c r="AY48" s="696">
        <v>73.260000000000005</v>
      </c>
      <c r="AZ48" s="696">
        <f t="shared" si="16"/>
        <v>666</v>
      </c>
      <c r="BA48" s="238" t="s">
        <v>1115</v>
      </c>
      <c r="BB48" s="1155">
        <v>8.7400000000000005E-2</v>
      </c>
      <c r="BC48" s="1157" t="s">
        <v>1138</v>
      </c>
    </row>
    <row r="49" spans="1:58" s="17" customFormat="1" x14ac:dyDescent="0.2">
      <c r="A49" s="18">
        <v>40</v>
      </c>
      <c r="B49" s="189" t="s">
        <v>1187</v>
      </c>
      <c r="C49" s="244"/>
      <c r="D49" s="48"/>
      <c r="E49" s="414"/>
      <c r="F49" s="414"/>
      <c r="G49" s="415"/>
      <c r="H49" s="415"/>
      <c r="I49" s="414"/>
      <c r="J49" s="21"/>
      <c r="K49" s="238"/>
      <c r="L49" s="238"/>
      <c r="M49" s="21"/>
      <c r="N49" s="21"/>
      <c r="O49" s="238"/>
      <c r="P49" s="21"/>
      <c r="Q49" s="239"/>
      <c r="R49" s="238"/>
      <c r="S49" s="21"/>
      <c r="T49" s="21"/>
      <c r="U49" s="238"/>
      <c r="V49" s="21"/>
      <c r="W49" s="696"/>
      <c r="X49" s="696"/>
      <c r="Y49" s="696"/>
      <c r="Z49" s="696"/>
      <c r="AA49" s="707"/>
      <c r="AB49" s="696"/>
      <c r="AC49" s="1090"/>
      <c r="AD49" s="1090"/>
      <c r="AE49" s="1090"/>
      <c r="AF49" s="1090"/>
      <c r="AG49" s="1090"/>
      <c r="AH49" s="1090"/>
      <c r="AI49" s="696"/>
      <c r="AJ49" s="696"/>
      <c r="AK49" s="696"/>
      <c r="AL49" s="696"/>
      <c r="AM49" s="707"/>
      <c r="AN49" s="696"/>
      <c r="AO49" s="696"/>
      <c r="AP49" s="696">
        <v>300</v>
      </c>
      <c r="AQ49" s="707">
        <f t="shared" si="12"/>
        <v>300</v>
      </c>
      <c r="AR49" s="696"/>
      <c r="AS49" s="707">
        <v>5.63</v>
      </c>
      <c r="AT49" s="696">
        <f t="shared" si="13"/>
        <v>300</v>
      </c>
      <c r="AU49" s="696">
        <f t="shared" si="14"/>
        <v>300</v>
      </c>
      <c r="AV49" s="696">
        <v>568</v>
      </c>
      <c r="AW49" s="696">
        <f t="shared" si="15"/>
        <v>868</v>
      </c>
      <c r="AX49" s="696"/>
      <c r="AY49" s="696">
        <v>95.48</v>
      </c>
      <c r="AZ49" s="696">
        <f t="shared" si="16"/>
        <v>868</v>
      </c>
      <c r="BA49" s="238" t="s">
        <v>1134</v>
      </c>
      <c r="BB49" s="1155">
        <v>7.4999999999999997E-2</v>
      </c>
      <c r="BC49" s="1157" t="s">
        <v>1138</v>
      </c>
    </row>
    <row r="50" spans="1:58" s="17" customFormat="1" x14ac:dyDescent="0.2">
      <c r="A50" s="18">
        <v>41</v>
      </c>
      <c r="B50" s="189" t="s">
        <v>1188</v>
      </c>
      <c r="C50" s="244"/>
      <c r="D50" s="48"/>
      <c r="E50" s="414"/>
      <c r="F50" s="414"/>
      <c r="G50" s="415"/>
      <c r="H50" s="415"/>
      <c r="I50" s="414"/>
      <c r="J50" s="21"/>
      <c r="K50" s="238"/>
      <c r="L50" s="238"/>
      <c r="M50" s="21"/>
      <c r="N50" s="21"/>
      <c r="O50" s="238"/>
      <c r="P50" s="21"/>
      <c r="Q50" s="239"/>
      <c r="R50" s="238"/>
      <c r="S50" s="21"/>
      <c r="T50" s="21"/>
      <c r="U50" s="238"/>
      <c r="V50" s="21"/>
      <c r="W50" s="696"/>
      <c r="X50" s="696"/>
      <c r="Y50" s="696"/>
      <c r="Z50" s="696"/>
      <c r="AA50" s="707"/>
      <c r="AB50" s="696"/>
      <c r="AC50" s="1090"/>
      <c r="AD50" s="1090"/>
      <c r="AE50" s="1090"/>
      <c r="AF50" s="1090"/>
      <c r="AG50" s="1090"/>
      <c r="AH50" s="1090"/>
      <c r="AI50" s="696"/>
      <c r="AJ50" s="696"/>
      <c r="AK50" s="696"/>
      <c r="AL50" s="696"/>
      <c r="AM50" s="707"/>
      <c r="AN50" s="696"/>
      <c r="AO50" s="696"/>
      <c r="AP50" s="696"/>
      <c r="AQ50" s="707">
        <f t="shared" si="12"/>
        <v>0</v>
      </c>
      <c r="AR50" s="696"/>
      <c r="AS50" s="707">
        <v>0</v>
      </c>
      <c r="AT50" s="696">
        <f t="shared" si="13"/>
        <v>0</v>
      </c>
      <c r="AU50" s="696">
        <f t="shared" si="14"/>
        <v>0</v>
      </c>
      <c r="AV50" s="696">
        <f>258.1+527.83</f>
        <v>785.93000000000006</v>
      </c>
      <c r="AW50" s="696">
        <f t="shared" si="15"/>
        <v>785.93000000000006</v>
      </c>
      <c r="AX50" s="696"/>
      <c r="AY50" s="696">
        <v>86.4</v>
      </c>
      <c r="AZ50" s="696">
        <f t="shared" si="16"/>
        <v>785.93000000000006</v>
      </c>
      <c r="BA50" s="238" t="s">
        <v>1134</v>
      </c>
      <c r="BB50" s="1155">
        <v>7.2999999999999995E-2</v>
      </c>
      <c r="BC50" s="1157" t="s">
        <v>1138</v>
      </c>
    </row>
    <row r="51" spans="1:58" s="17" customFormat="1" x14ac:dyDescent="0.2">
      <c r="A51" s="18">
        <v>42</v>
      </c>
      <c r="B51" s="189" t="s">
        <v>1106</v>
      </c>
      <c r="C51" s="244"/>
      <c r="D51" s="48"/>
      <c r="E51" s="414"/>
      <c r="F51" s="414"/>
      <c r="G51" s="415"/>
      <c r="H51" s="415"/>
      <c r="I51" s="414"/>
      <c r="J51" s="21"/>
      <c r="K51" s="238"/>
      <c r="L51" s="238"/>
      <c r="M51" s="21"/>
      <c r="N51" s="21"/>
      <c r="O51" s="238"/>
      <c r="P51" s="21"/>
      <c r="Q51" s="239"/>
      <c r="R51" s="238"/>
      <c r="S51" s="21"/>
      <c r="T51" s="21"/>
      <c r="U51" s="238"/>
      <c r="V51" s="21"/>
      <c r="W51" s="696"/>
      <c r="X51" s="696"/>
      <c r="Y51" s="696"/>
      <c r="Z51" s="696"/>
      <c r="AA51" s="707"/>
      <c r="AB51" s="696"/>
      <c r="AC51" s="1090"/>
      <c r="AD51" s="1090"/>
      <c r="AE51" s="1090">
        <f t="shared" si="6"/>
        <v>0</v>
      </c>
      <c r="AF51" s="1090"/>
      <c r="AG51" s="1090"/>
      <c r="AH51" s="1090">
        <f t="shared" si="7"/>
        <v>0</v>
      </c>
      <c r="AI51" s="696">
        <f t="shared" si="8"/>
        <v>0</v>
      </c>
      <c r="AJ51" s="696"/>
      <c r="AK51" s="696">
        <f t="shared" si="9"/>
        <v>0</v>
      </c>
      <c r="AL51" s="696"/>
      <c r="AM51" s="707"/>
      <c r="AN51" s="696">
        <f t="shared" si="10"/>
        <v>0</v>
      </c>
      <c r="AO51" s="696">
        <f t="shared" si="11"/>
        <v>0</v>
      </c>
      <c r="AP51" s="696"/>
      <c r="AQ51" s="707">
        <f t="shared" si="12"/>
        <v>0</v>
      </c>
      <c r="AR51" s="696"/>
      <c r="AS51" s="696"/>
      <c r="AT51" s="696">
        <f t="shared" si="13"/>
        <v>0</v>
      </c>
      <c r="AU51" s="696">
        <f t="shared" si="14"/>
        <v>0</v>
      </c>
      <c r="AV51" s="696"/>
      <c r="AW51" s="696">
        <f t="shared" si="15"/>
        <v>0</v>
      </c>
      <c r="AX51" s="696"/>
      <c r="AY51" s="696"/>
      <c r="AZ51" s="696">
        <f t="shared" si="16"/>
        <v>0</v>
      </c>
      <c r="BA51" s="238"/>
      <c r="BB51" s="238"/>
      <c r="BC51" s="1156"/>
    </row>
    <row r="52" spans="1:58" s="17" customFormat="1" x14ac:dyDescent="0.2">
      <c r="A52" s="18">
        <v>43</v>
      </c>
      <c r="B52" s="189" t="s">
        <v>945</v>
      </c>
      <c r="C52" s="244"/>
      <c r="D52" s="48"/>
      <c r="E52" s="414"/>
      <c r="F52" s="414"/>
      <c r="G52" s="415"/>
      <c r="H52" s="415"/>
      <c r="I52" s="414"/>
      <c r="J52" s="21"/>
      <c r="K52" s="238"/>
      <c r="L52" s="238"/>
      <c r="M52" s="21"/>
      <c r="N52" s="21"/>
      <c r="O52" s="238"/>
      <c r="P52" s="21"/>
      <c r="Q52" s="239"/>
      <c r="R52" s="238"/>
      <c r="S52" s="21"/>
      <c r="T52" s="21"/>
      <c r="U52" s="238"/>
      <c r="V52" s="21"/>
      <c r="W52" s="696"/>
      <c r="X52" s="696"/>
      <c r="Y52" s="696"/>
      <c r="Z52" s="696"/>
      <c r="AA52" s="707"/>
      <c r="AB52" s="696"/>
      <c r="AC52" s="1090"/>
      <c r="AD52" s="1090"/>
      <c r="AE52" s="1090">
        <f t="shared" si="6"/>
        <v>0</v>
      </c>
      <c r="AF52" s="1090"/>
      <c r="AG52" s="1090"/>
      <c r="AH52" s="1090">
        <f t="shared" si="7"/>
        <v>0</v>
      </c>
      <c r="AI52" s="696">
        <f t="shared" si="8"/>
        <v>0</v>
      </c>
      <c r="AJ52" s="696"/>
      <c r="AK52" s="696">
        <f t="shared" si="9"/>
        <v>0</v>
      </c>
      <c r="AL52" s="696"/>
      <c r="AM52" s="707"/>
      <c r="AN52" s="696">
        <f t="shared" si="10"/>
        <v>0</v>
      </c>
      <c r="AO52" s="696">
        <f t="shared" si="11"/>
        <v>0</v>
      </c>
      <c r="AP52" s="696"/>
      <c r="AQ52" s="707">
        <f t="shared" si="12"/>
        <v>0</v>
      </c>
      <c r="AR52" s="696"/>
      <c r="AS52" s="696"/>
      <c r="AT52" s="696">
        <f t="shared" si="13"/>
        <v>0</v>
      </c>
      <c r="AU52" s="696">
        <f t="shared" si="14"/>
        <v>0</v>
      </c>
      <c r="AV52" s="696"/>
      <c r="AW52" s="696">
        <f t="shared" si="15"/>
        <v>0</v>
      </c>
      <c r="AX52" s="696"/>
      <c r="AY52" s="696"/>
      <c r="AZ52" s="696">
        <f t="shared" si="16"/>
        <v>0</v>
      </c>
      <c r="BA52" s="238"/>
      <c r="BB52" s="238"/>
      <c r="BC52" s="1156"/>
    </row>
    <row r="53" spans="1:58" s="17" customFormat="1" x14ac:dyDescent="0.2">
      <c r="A53" s="18">
        <v>44</v>
      </c>
      <c r="B53" s="189" t="s">
        <v>946</v>
      </c>
      <c r="C53" s="244"/>
      <c r="D53" s="48"/>
      <c r="E53" s="414"/>
      <c r="F53" s="414"/>
      <c r="G53" s="415"/>
      <c r="H53" s="415"/>
      <c r="I53" s="414"/>
      <c r="J53" s="21"/>
      <c r="K53" s="238"/>
      <c r="L53" s="238"/>
      <c r="M53" s="21"/>
      <c r="N53" s="21"/>
      <c r="O53" s="238"/>
      <c r="P53" s="21"/>
      <c r="Q53" s="239"/>
      <c r="R53" s="238"/>
      <c r="S53" s="21"/>
      <c r="T53" s="21"/>
      <c r="U53" s="238"/>
      <c r="V53" s="21"/>
      <c r="W53" s="696"/>
      <c r="X53" s="696"/>
      <c r="Y53" s="696"/>
      <c r="Z53" s="696"/>
      <c r="AA53" s="707"/>
      <c r="AB53" s="696"/>
      <c r="AC53" s="1090"/>
      <c r="AD53" s="1090"/>
      <c r="AE53" s="1090">
        <f t="shared" si="6"/>
        <v>0</v>
      </c>
      <c r="AF53" s="1090"/>
      <c r="AG53" s="1090"/>
      <c r="AH53" s="1090">
        <f t="shared" si="7"/>
        <v>0</v>
      </c>
      <c r="AI53" s="696">
        <f t="shared" si="8"/>
        <v>0</v>
      </c>
      <c r="AJ53" s="696"/>
      <c r="AK53" s="696">
        <f t="shared" si="9"/>
        <v>0</v>
      </c>
      <c r="AL53" s="696"/>
      <c r="AM53" s="707"/>
      <c r="AN53" s="696">
        <f t="shared" si="10"/>
        <v>0</v>
      </c>
      <c r="AO53" s="696">
        <f t="shared" si="11"/>
        <v>0</v>
      </c>
      <c r="AP53" s="696"/>
      <c r="AQ53" s="707">
        <f t="shared" si="12"/>
        <v>0</v>
      </c>
      <c r="AR53" s="696"/>
      <c r="AS53" s="696"/>
      <c r="AT53" s="696">
        <f t="shared" si="13"/>
        <v>0</v>
      </c>
      <c r="AU53" s="696">
        <f t="shared" si="14"/>
        <v>0</v>
      </c>
      <c r="AV53" s="696"/>
      <c r="AW53" s="696">
        <f t="shared" si="15"/>
        <v>0</v>
      </c>
      <c r="AX53" s="696"/>
      <c r="AY53" s="696"/>
      <c r="AZ53" s="696">
        <f t="shared" si="16"/>
        <v>0</v>
      </c>
      <c r="BA53" s="238"/>
      <c r="BB53" s="238"/>
      <c r="BC53" s="1156"/>
    </row>
    <row r="54" spans="1:58" s="17" customFormat="1" x14ac:dyDescent="0.2">
      <c r="A54" s="18">
        <v>45</v>
      </c>
      <c r="B54" s="189" t="s">
        <v>947</v>
      </c>
      <c r="C54" s="244"/>
      <c r="D54" s="48"/>
      <c r="E54" s="414"/>
      <c r="F54" s="414"/>
      <c r="G54" s="415"/>
      <c r="H54" s="415"/>
      <c r="I54" s="414"/>
      <c r="J54" s="21"/>
      <c r="K54" s="238"/>
      <c r="L54" s="238"/>
      <c r="M54" s="21"/>
      <c r="N54" s="21"/>
      <c r="O54" s="238"/>
      <c r="P54" s="21"/>
      <c r="Q54" s="239"/>
      <c r="R54" s="238"/>
      <c r="S54" s="21"/>
      <c r="T54" s="21"/>
      <c r="U54" s="238"/>
      <c r="V54" s="21"/>
      <c r="W54" s="696"/>
      <c r="X54" s="696"/>
      <c r="Y54" s="696"/>
      <c r="Z54" s="696"/>
      <c r="AA54" s="707"/>
      <c r="AB54" s="696"/>
      <c r="AC54" s="1090"/>
      <c r="AD54" s="1090"/>
      <c r="AE54" s="1090">
        <f t="shared" si="6"/>
        <v>0</v>
      </c>
      <c r="AF54" s="1090"/>
      <c r="AG54" s="1090"/>
      <c r="AH54" s="1090">
        <f t="shared" si="7"/>
        <v>0</v>
      </c>
      <c r="AI54" s="696">
        <f t="shared" si="8"/>
        <v>0</v>
      </c>
      <c r="AJ54" s="696"/>
      <c r="AK54" s="696">
        <f t="shared" si="9"/>
        <v>0</v>
      </c>
      <c r="AL54" s="696"/>
      <c r="AM54" s="707"/>
      <c r="AN54" s="696">
        <f t="shared" si="10"/>
        <v>0</v>
      </c>
      <c r="AO54" s="696">
        <f t="shared" si="11"/>
        <v>0</v>
      </c>
      <c r="AP54" s="696"/>
      <c r="AQ54" s="707">
        <f t="shared" si="12"/>
        <v>0</v>
      </c>
      <c r="AR54" s="696"/>
      <c r="AS54" s="696"/>
      <c r="AT54" s="696">
        <f t="shared" si="13"/>
        <v>0</v>
      </c>
      <c r="AU54" s="696">
        <f t="shared" si="14"/>
        <v>0</v>
      </c>
      <c r="AV54" s="696"/>
      <c r="AW54" s="696">
        <f t="shared" si="15"/>
        <v>0</v>
      </c>
      <c r="AX54" s="696"/>
      <c r="AY54" s="696"/>
      <c r="AZ54" s="696">
        <f t="shared" si="16"/>
        <v>0</v>
      </c>
      <c r="BA54" s="238"/>
      <c r="BB54" s="238"/>
      <c r="BC54" s="238"/>
    </row>
    <row r="55" spans="1:58" s="17" customFormat="1" x14ac:dyDescent="0.2">
      <c r="A55" s="18">
        <v>41</v>
      </c>
      <c r="B55" s="1459" t="s">
        <v>1189</v>
      </c>
      <c r="C55" s="244"/>
      <c r="D55" s="48"/>
      <c r="E55" s="414"/>
      <c r="F55" s="414"/>
      <c r="G55" s="415"/>
      <c r="H55" s="415"/>
      <c r="I55" s="414"/>
      <c r="J55" s="21"/>
      <c r="K55" s="238"/>
      <c r="L55" s="238"/>
      <c r="M55" s="21"/>
      <c r="N55" s="21"/>
      <c r="O55" s="238"/>
      <c r="P55" s="21"/>
      <c r="Q55" s="239"/>
      <c r="R55" s="238"/>
      <c r="S55" s="21"/>
      <c r="T55" s="21"/>
      <c r="U55" s="238"/>
      <c r="V55" s="21"/>
      <c r="W55" s="696"/>
      <c r="X55" s="696"/>
      <c r="Y55" s="696"/>
      <c r="Z55" s="696"/>
      <c r="AA55" s="707"/>
      <c r="AB55" s="696"/>
      <c r="AC55" s="1090"/>
      <c r="AD55" s="1090"/>
      <c r="AE55" s="1090"/>
      <c r="AF55" s="1090"/>
      <c r="AG55" s="1090"/>
      <c r="AH55" s="1090"/>
      <c r="AI55" s="696"/>
      <c r="AJ55" s="696">
        <v>500</v>
      </c>
      <c r="AK55" s="696">
        <f t="shared" si="9"/>
        <v>500</v>
      </c>
      <c r="AL55" s="696"/>
      <c r="AM55" s="707"/>
      <c r="AN55" s="696">
        <f t="shared" si="10"/>
        <v>500</v>
      </c>
      <c r="AO55" s="696">
        <f t="shared" si="11"/>
        <v>500</v>
      </c>
      <c r="AP55" s="696"/>
      <c r="AQ55" s="707">
        <f t="shared" si="12"/>
        <v>500</v>
      </c>
      <c r="AR55" s="696"/>
      <c r="AS55" s="696"/>
      <c r="AT55" s="696">
        <f t="shared" si="13"/>
        <v>500</v>
      </c>
      <c r="AU55" s="696">
        <f t="shared" si="14"/>
        <v>500</v>
      </c>
      <c r="AV55" s="696"/>
      <c r="AW55" s="696">
        <f t="shared" si="15"/>
        <v>500</v>
      </c>
      <c r="AX55" s="696"/>
      <c r="AY55" s="696"/>
      <c r="AZ55" s="696">
        <f t="shared" si="16"/>
        <v>500</v>
      </c>
      <c r="BA55" s="238" t="s">
        <v>1198</v>
      </c>
      <c r="BB55" s="238"/>
      <c r="BC55" s="238" t="s">
        <v>1199</v>
      </c>
    </row>
    <row r="56" spans="1:58" s="17" customFormat="1" ht="25.5" x14ac:dyDescent="0.2">
      <c r="A56" s="18"/>
      <c r="B56" s="189" t="s">
        <v>1190</v>
      </c>
      <c r="C56" s="244"/>
      <c r="D56" s="48"/>
      <c r="E56" s="414"/>
      <c r="F56" s="414"/>
      <c r="G56" s="415"/>
      <c r="H56" s="415"/>
      <c r="I56" s="414"/>
      <c r="J56" s="21"/>
      <c r="K56" s="238"/>
      <c r="L56" s="238"/>
      <c r="M56" s="21"/>
      <c r="N56" s="21"/>
      <c r="O56" s="238"/>
      <c r="P56" s="21"/>
      <c r="Q56" s="239"/>
      <c r="R56" s="238"/>
      <c r="S56" s="21"/>
      <c r="T56" s="21"/>
      <c r="U56" s="238"/>
      <c r="V56" s="21"/>
      <c r="W56" s="696"/>
      <c r="X56" s="696"/>
      <c r="Y56" s="696"/>
      <c r="Z56" s="696"/>
      <c r="AA56" s="707"/>
      <c r="AB56" s="696"/>
      <c r="AC56" s="1090"/>
      <c r="AD56" s="1090"/>
      <c r="AE56" s="1090"/>
      <c r="AF56" s="1090"/>
      <c r="AG56" s="1090"/>
      <c r="AH56" s="1090"/>
      <c r="AI56" s="696"/>
      <c r="AJ56" s="696"/>
      <c r="AK56" s="696">
        <f t="shared" si="9"/>
        <v>0</v>
      </c>
      <c r="AL56" s="696"/>
      <c r="AM56" s="707"/>
      <c r="AN56" s="696"/>
      <c r="AO56" s="696"/>
      <c r="AP56" s="696"/>
      <c r="AQ56" s="707">
        <f t="shared" si="12"/>
        <v>0</v>
      </c>
      <c r="AR56" s="696"/>
      <c r="AS56" s="696"/>
      <c r="AT56" s="696">
        <f t="shared" si="13"/>
        <v>0</v>
      </c>
      <c r="AU56" s="696">
        <f t="shared" si="14"/>
        <v>0</v>
      </c>
      <c r="AV56" s="696"/>
      <c r="AW56" s="696">
        <f t="shared" si="15"/>
        <v>0</v>
      </c>
      <c r="AX56" s="696"/>
      <c r="AY56" s="696"/>
      <c r="AZ56" s="696">
        <f t="shared" si="16"/>
        <v>0</v>
      </c>
      <c r="BA56" s="238"/>
      <c r="BB56" s="238"/>
      <c r="BC56" s="238"/>
    </row>
    <row r="57" spans="1:58" s="17" customFormat="1" x14ac:dyDescent="0.2">
      <c r="A57" s="18"/>
      <c r="B57" s="189" t="s">
        <v>1191</v>
      </c>
      <c r="C57" s="244"/>
      <c r="D57" s="48"/>
      <c r="E57" s="414"/>
      <c r="F57" s="414"/>
      <c r="G57" s="415"/>
      <c r="H57" s="415"/>
      <c r="I57" s="414"/>
      <c r="J57" s="21"/>
      <c r="K57" s="238"/>
      <c r="L57" s="238"/>
      <c r="M57" s="21"/>
      <c r="N57" s="21"/>
      <c r="O57" s="238"/>
      <c r="P57" s="21"/>
      <c r="Q57" s="239"/>
      <c r="R57" s="238"/>
      <c r="S57" s="21"/>
      <c r="T57" s="21"/>
      <c r="U57" s="238"/>
      <c r="V57" s="21"/>
      <c r="W57" s="696"/>
      <c r="X57" s="696"/>
      <c r="Y57" s="696"/>
      <c r="Z57" s="696"/>
      <c r="AA57" s="707"/>
      <c r="AB57" s="696"/>
      <c r="AC57" s="1090"/>
      <c r="AD57" s="1090"/>
      <c r="AE57" s="1090"/>
      <c r="AF57" s="1090"/>
      <c r="AG57" s="1090"/>
      <c r="AH57" s="1090"/>
      <c r="AI57" s="696"/>
      <c r="AJ57" s="696"/>
      <c r="AK57" s="696">
        <f t="shared" si="9"/>
        <v>0</v>
      </c>
      <c r="AL57" s="696"/>
      <c r="AM57" s="707"/>
      <c r="AN57" s="696"/>
      <c r="AO57" s="696"/>
      <c r="AP57" s="696">
        <v>875</v>
      </c>
      <c r="AQ57" s="707">
        <f t="shared" si="12"/>
        <v>875</v>
      </c>
      <c r="AR57" s="696"/>
      <c r="AS57" s="696">
        <v>56.625</v>
      </c>
      <c r="AT57" s="696">
        <f t="shared" si="13"/>
        <v>875</v>
      </c>
      <c r="AU57" s="696">
        <f t="shared" si="14"/>
        <v>875</v>
      </c>
      <c r="AV57" s="696"/>
      <c r="AW57" s="696">
        <f t="shared" si="15"/>
        <v>875</v>
      </c>
      <c r="AX57" s="696"/>
      <c r="AY57" s="696">
        <v>96.25</v>
      </c>
      <c r="AZ57" s="696">
        <f t="shared" si="16"/>
        <v>875</v>
      </c>
      <c r="BA57" s="238" t="s">
        <v>1137</v>
      </c>
      <c r="BB57" s="1152">
        <v>7.4999999999999997E-2</v>
      </c>
      <c r="BC57" s="238" t="s">
        <v>1200</v>
      </c>
    </row>
    <row r="58" spans="1:58" s="17" customFormat="1" x14ac:dyDescent="0.2">
      <c r="A58" s="18"/>
      <c r="B58" s="189" t="s">
        <v>1192</v>
      </c>
      <c r="C58" s="244"/>
      <c r="D58" s="48"/>
      <c r="E58" s="414"/>
      <c r="F58" s="414"/>
      <c r="G58" s="415"/>
      <c r="H58" s="415"/>
      <c r="I58" s="414"/>
      <c r="J58" s="21"/>
      <c r="K58" s="238"/>
      <c r="L58" s="238"/>
      <c r="M58" s="21"/>
      <c r="N58" s="21"/>
      <c r="O58" s="238"/>
      <c r="P58" s="21"/>
      <c r="Q58" s="239"/>
      <c r="R58" s="238"/>
      <c r="S58" s="21"/>
      <c r="T58" s="21"/>
      <c r="U58" s="238"/>
      <c r="V58" s="21"/>
      <c r="W58" s="696"/>
      <c r="X58" s="696"/>
      <c r="Y58" s="696"/>
      <c r="Z58" s="696"/>
      <c r="AA58" s="707"/>
      <c r="AB58" s="696"/>
      <c r="AC58" s="1090"/>
      <c r="AD58" s="1090"/>
      <c r="AE58" s="1090"/>
      <c r="AF58" s="1090"/>
      <c r="AG58" s="1090"/>
      <c r="AH58" s="1090"/>
      <c r="AI58" s="696"/>
      <c r="AJ58" s="696"/>
      <c r="AK58" s="696"/>
      <c r="AL58" s="696"/>
      <c r="AM58" s="707"/>
      <c r="AN58" s="696"/>
      <c r="AO58" s="696"/>
      <c r="AP58" s="696">
        <v>1050</v>
      </c>
      <c r="AQ58" s="707">
        <f t="shared" si="12"/>
        <v>1050</v>
      </c>
      <c r="AR58" s="696"/>
      <c r="AS58" s="696">
        <v>69.456000000000003</v>
      </c>
      <c r="AT58" s="696">
        <f t="shared" si="13"/>
        <v>1050</v>
      </c>
      <c r="AU58" s="696">
        <f t="shared" si="14"/>
        <v>1050</v>
      </c>
      <c r="AV58" s="696"/>
      <c r="AW58" s="696">
        <f t="shared" si="15"/>
        <v>1050</v>
      </c>
      <c r="AX58" s="696"/>
      <c r="AY58" s="696">
        <v>115.5</v>
      </c>
      <c r="AZ58" s="696">
        <f t="shared" si="16"/>
        <v>1050</v>
      </c>
      <c r="BA58" s="238" t="s">
        <v>1137</v>
      </c>
      <c r="BB58" s="1152">
        <v>7.4499999999999997E-2</v>
      </c>
      <c r="BC58" s="238" t="s">
        <v>1200</v>
      </c>
    </row>
    <row r="59" spans="1:58" s="1140" customFormat="1" ht="26.25" customHeight="1" x14ac:dyDescent="0.2">
      <c r="A59" s="1138"/>
      <c r="B59" s="1107" t="s">
        <v>773</v>
      </c>
      <c r="C59" s="1139"/>
      <c r="D59" s="1108">
        <f t="shared" ref="D59:K59" si="20">SUM(D10:D38)</f>
        <v>61.400000000000013</v>
      </c>
      <c r="E59" s="1108">
        <f t="shared" si="20"/>
        <v>61.400000000000013</v>
      </c>
      <c r="F59" s="1108">
        <f t="shared" si="20"/>
        <v>284.52</v>
      </c>
      <c r="G59" s="1108">
        <f t="shared" si="20"/>
        <v>345.91999999999996</v>
      </c>
      <c r="H59" s="1108">
        <f t="shared" si="20"/>
        <v>19.670000000000002</v>
      </c>
      <c r="I59" s="1109">
        <f t="shared" si="20"/>
        <v>31.4</v>
      </c>
      <c r="J59" s="1110">
        <f t="shared" si="20"/>
        <v>2941.88</v>
      </c>
      <c r="K59" s="1110">
        <f t="shared" si="20"/>
        <v>2941.88</v>
      </c>
      <c r="L59" s="1110">
        <f>SUM(L10:L39)</f>
        <v>200.24</v>
      </c>
      <c r="M59" s="1110">
        <f>SUM(M10:M38)</f>
        <v>2941.88</v>
      </c>
      <c r="N59" s="1110">
        <f>SUM(N10:N38)</f>
        <v>0</v>
      </c>
      <c r="O59" s="1110">
        <f>SUM(O10:O38)</f>
        <v>48.65</v>
      </c>
      <c r="P59" s="1110">
        <f>SUM(P10:P39)</f>
        <v>3142.12</v>
      </c>
      <c r="Q59" s="1110">
        <f>SUM(Q10:Q39)</f>
        <v>3142.12</v>
      </c>
      <c r="R59" s="1110">
        <f>SUM(R10:R38)</f>
        <v>1087.45</v>
      </c>
      <c r="S59" s="1110">
        <f>SUM(S10:S39)</f>
        <v>4229.57</v>
      </c>
      <c r="T59" s="1110">
        <f>SUM(T10:T38)</f>
        <v>254.56</v>
      </c>
      <c r="U59" s="1110">
        <f>SUM(U10:U38)</f>
        <v>319.99</v>
      </c>
      <c r="V59" s="1110">
        <f>SUM(V10:V38)</f>
        <v>3774.7699999999995</v>
      </c>
      <c r="W59" s="1093">
        <f t="shared" ref="W59:AC59" si="21">SUM(W10:W39)</f>
        <v>3774.7699999999995</v>
      </c>
      <c r="X59" s="1093">
        <f t="shared" si="21"/>
        <v>519.01</v>
      </c>
      <c r="Y59" s="1093">
        <f t="shared" si="21"/>
        <v>4293.78</v>
      </c>
      <c r="Z59" s="1093">
        <f t="shared" si="21"/>
        <v>320.81999999999994</v>
      </c>
      <c r="AA59" s="1094">
        <f t="shared" si="21"/>
        <v>343.27281189999991</v>
      </c>
      <c r="AB59" s="1093">
        <f t="shared" si="21"/>
        <v>3972.96</v>
      </c>
      <c r="AC59" s="1094">
        <f t="shared" si="21"/>
        <v>3753.0680000000002</v>
      </c>
      <c r="AD59" s="1093">
        <f>SUM(AD10:AD51)</f>
        <v>1155.8700000000001</v>
      </c>
      <c r="AE59" s="1093">
        <f>SUM(AE10:AE42)</f>
        <v>4908.9380000000001</v>
      </c>
      <c r="AF59" s="1094">
        <f>SUM(AF10:AF42)</f>
        <v>548.56436760000008</v>
      </c>
      <c r="AG59" s="1093">
        <f>SUM(AG10:AG54)</f>
        <v>373.04999999999995</v>
      </c>
      <c r="AH59" s="1094">
        <f>SUM(AH10:AH54)</f>
        <v>4356.1836324000005</v>
      </c>
      <c r="AI59" s="1094">
        <f>SUM(AI10:AI42)</f>
        <v>4356.1836324000005</v>
      </c>
      <c r="AJ59" s="1094">
        <f>SUM(AJ10:AJ55)</f>
        <v>1762.3039999999999</v>
      </c>
      <c r="AK59" s="1094">
        <f>SUM(AK10:AK58)</f>
        <v>6118.4876323999988</v>
      </c>
      <c r="AL59" s="1094">
        <f>SUM(AL10:AL54)</f>
        <v>624.87000000000012</v>
      </c>
      <c r="AM59" s="1094">
        <f>SUM(AM10:AM54)</f>
        <v>489.28000000000009</v>
      </c>
      <c r="AN59" s="1094">
        <f t="shared" ref="AN59:AT59" si="22">SUM(AN10:AN58)</f>
        <v>5493.6176324000007</v>
      </c>
      <c r="AO59" s="1094">
        <f t="shared" si="22"/>
        <v>5493.6176324000007</v>
      </c>
      <c r="AP59" s="1094">
        <f t="shared" si="22"/>
        <v>3401.3</v>
      </c>
      <c r="AQ59" s="1094">
        <f t="shared" si="22"/>
        <v>8894.9176324</v>
      </c>
      <c r="AR59" s="1054">
        <f t="shared" si="22"/>
        <v>709.04</v>
      </c>
      <c r="AS59" s="1094">
        <f t="shared" si="22"/>
        <v>662.18002000000001</v>
      </c>
      <c r="AT59" s="1094">
        <f t="shared" si="22"/>
        <v>8185.8776324</v>
      </c>
      <c r="AU59" s="838">
        <f t="shared" si="14"/>
        <v>8185.8776324</v>
      </c>
      <c r="AV59" s="1094">
        <f>SUM(AV10:AV58)</f>
        <v>2108.5</v>
      </c>
      <c r="AW59" s="1094">
        <f>SUM(AW10:AW58)</f>
        <v>10294.377632399999</v>
      </c>
      <c r="AX59" s="1094">
        <f>SUM(AX10:AX58)</f>
        <v>596.63000000000011</v>
      </c>
      <c r="AY59" s="1094">
        <f>SUM(AY10:AY58)</f>
        <v>1056.6467</v>
      </c>
      <c r="AZ59" s="1094">
        <f>SUM(AZ10:AZ58)</f>
        <v>9697.7476323999999</v>
      </c>
      <c r="BA59" s="1147"/>
      <c r="BB59" s="1148"/>
      <c r="BC59" s="1147"/>
      <c r="BD59" s="1595"/>
      <c r="BE59" s="1594"/>
      <c r="BF59" s="1594"/>
    </row>
    <row r="60" spans="1:58" s="1091" customFormat="1" ht="26.25" customHeight="1" x14ac:dyDescent="0.2">
      <c r="A60" s="1099"/>
      <c r="B60" s="1111" t="s">
        <v>847</v>
      </c>
      <c r="C60" s="1101"/>
      <c r="D60" s="1104">
        <v>750</v>
      </c>
      <c r="E60" s="1103">
        <f>D60</f>
        <v>750</v>
      </c>
      <c r="F60" s="1103">
        <v>124.98</v>
      </c>
      <c r="G60" s="1104">
        <f>E60+F60</f>
        <v>874.98</v>
      </c>
      <c r="H60" s="1104"/>
      <c r="I60" s="1112">
        <f>19.24+22.01+21.52+10.92+24.7+0.08</f>
        <v>98.47</v>
      </c>
      <c r="J60" s="1104"/>
      <c r="K60" s="1103"/>
      <c r="L60" s="1103"/>
      <c r="M60" s="1104"/>
      <c r="N60" s="1104"/>
      <c r="O60" s="1106"/>
      <c r="P60" s="1104"/>
      <c r="Q60" s="1106"/>
      <c r="R60" s="1103"/>
      <c r="S60" s="1104"/>
      <c r="T60" s="1103"/>
      <c r="U60" s="1106"/>
      <c r="V60" s="1104"/>
      <c r="W60" s="1088"/>
      <c r="X60" s="1088"/>
      <c r="Y60" s="1088"/>
      <c r="Z60" s="1088"/>
      <c r="AA60" s="1088"/>
      <c r="AB60" s="1088"/>
      <c r="AC60" s="1090"/>
      <c r="AD60" s="1090"/>
      <c r="AE60" s="1090"/>
      <c r="AF60" s="1090"/>
      <c r="AG60" s="1090"/>
      <c r="AH60" s="1090"/>
      <c r="AI60" s="1088"/>
      <c r="AJ60" s="696"/>
      <c r="AK60" s="1088"/>
      <c r="AL60" s="1088"/>
      <c r="AM60" s="1088"/>
      <c r="AN60" s="1088"/>
      <c r="AO60" s="1088"/>
      <c r="AP60" s="1088"/>
      <c r="AQ60" s="1088"/>
      <c r="AR60" s="1088"/>
      <c r="AS60" s="1088"/>
      <c r="AT60" s="1088"/>
      <c r="AU60" s="696">
        <f t="shared" si="14"/>
        <v>0</v>
      </c>
      <c r="AV60" s="1088"/>
      <c r="AW60" s="1088"/>
      <c r="AX60" s="1088"/>
      <c r="AY60" s="1088"/>
      <c r="AZ60" s="1088"/>
      <c r="BA60" s="1103"/>
      <c r="BB60" s="1103"/>
      <c r="BC60" s="1103"/>
    </row>
    <row r="61" spans="1:58" s="1091" customFormat="1" x14ac:dyDescent="0.2">
      <c r="A61" s="1113">
        <v>1</v>
      </c>
      <c r="B61" s="1114" t="s">
        <v>848</v>
      </c>
      <c r="C61" s="1101"/>
      <c r="D61" s="1104"/>
      <c r="E61" s="1103"/>
      <c r="F61" s="1103"/>
      <c r="G61" s="1104"/>
      <c r="H61" s="1104"/>
      <c r="I61" s="1112"/>
      <c r="J61" s="1104">
        <v>550</v>
      </c>
      <c r="K61" s="1106">
        <f>J61</f>
        <v>550</v>
      </c>
      <c r="L61" s="1103"/>
      <c r="M61" s="1104">
        <f>K61+L61</f>
        <v>550</v>
      </c>
      <c r="N61" s="1104"/>
      <c r="O61" s="1106"/>
      <c r="P61" s="1104">
        <f>M61-N61</f>
        <v>550</v>
      </c>
      <c r="Q61" s="1106">
        <f>P61</f>
        <v>550</v>
      </c>
      <c r="R61" s="1103">
        <v>750</v>
      </c>
      <c r="S61" s="1104">
        <f t="shared" ref="S61:S67" si="23">Q61+R61</f>
        <v>1300</v>
      </c>
      <c r="T61" s="1103">
        <v>550</v>
      </c>
      <c r="U61" s="1106">
        <v>65.14</v>
      </c>
      <c r="V61" s="1104">
        <f t="shared" ref="V61:V67" si="24">S61-T61</f>
        <v>750</v>
      </c>
      <c r="W61" s="1088">
        <v>750</v>
      </c>
      <c r="X61" s="1088">
        <f>'[26]D-9'!D39</f>
        <v>1300</v>
      </c>
      <c r="Y61" s="1088">
        <f>W61+X61</f>
        <v>2050</v>
      </c>
      <c r="Z61" s="1088">
        <v>1000</v>
      </c>
      <c r="AA61" s="1089">
        <v>60.716361499999998</v>
      </c>
      <c r="AB61" s="1088">
        <f>Y61-Z61</f>
        <v>1050</v>
      </c>
      <c r="AC61" s="1090">
        <v>1050</v>
      </c>
      <c r="AD61" s="1090">
        <v>4000</v>
      </c>
      <c r="AE61" s="1090">
        <f t="shared" ref="AE61:AE88" si="25">AC61+AD61</f>
        <v>5050</v>
      </c>
      <c r="AF61" s="1090">
        <v>4300</v>
      </c>
      <c r="AG61" s="1090">
        <f>[24]D9!$G$43</f>
        <v>61.589999999999996</v>
      </c>
      <c r="AH61" s="1090">
        <f t="shared" ref="AH61:AH71" si="26">AE61-AF61</f>
        <v>750</v>
      </c>
      <c r="AI61" s="1088">
        <f t="shared" ref="AI61:AI71" si="27">AH61</f>
        <v>750</v>
      </c>
      <c r="AJ61" s="696">
        <v>3500</v>
      </c>
      <c r="AK61" s="1088">
        <f t="shared" ref="AK61:AK77" si="28">AI61+AJ61</f>
        <v>4250</v>
      </c>
      <c r="AL61" s="696">
        <v>3000</v>
      </c>
      <c r="AM61" s="707">
        <v>65.73</v>
      </c>
      <c r="AN61" s="1088">
        <f t="shared" ref="AN61:AN77" si="29">AK61-AL61</f>
        <v>1250</v>
      </c>
      <c r="AO61" s="1089">
        <f t="shared" ref="AO61:AO77" si="30">AN61</f>
        <v>1250</v>
      </c>
      <c r="AP61" s="1088">
        <v>5000</v>
      </c>
      <c r="AQ61" s="1088">
        <f t="shared" ref="AQ61:AQ77" si="31">AO61+AP61</f>
        <v>6250</v>
      </c>
      <c r="AR61" s="1088">
        <v>5000</v>
      </c>
      <c r="AS61" s="1088">
        <f>95.32+3</f>
        <v>98.32</v>
      </c>
      <c r="AT61" s="1088">
        <f t="shared" ref="AT61:AT77" si="32">AQ61-AR61</f>
        <v>1250</v>
      </c>
      <c r="AU61" s="696">
        <f t="shared" si="14"/>
        <v>1250</v>
      </c>
      <c r="AV61" s="1088">
        <v>5000</v>
      </c>
      <c r="AW61" s="696">
        <f t="shared" ref="AW61:AW77" si="33">AU61+AV61</f>
        <v>6250</v>
      </c>
      <c r="AX61" s="1088">
        <v>5000</v>
      </c>
      <c r="AY61" s="1088">
        <f>106.82+2.12</f>
        <v>108.94</v>
      </c>
      <c r="AZ61" s="1088">
        <f t="shared" ref="AZ61:AZ77" si="34">AW61-AX61</f>
        <v>1250</v>
      </c>
      <c r="BA61" s="1103" t="s">
        <v>1205</v>
      </c>
      <c r="BB61" s="1103" t="s">
        <v>1206</v>
      </c>
      <c r="BC61" s="1103" t="s">
        <v>1207</v>
      </c>
    </row>
    <row r="62" spans="1:58" s="1091" customFormat="1" x14ac:dyDescent="0.2">
      <c r="A62" s="1113">
        <v>2</v>
      </c>
      <c r="B62" s="1114" t="s">
        <v>849</v>
      </c>
      <c r="C62" s="1101"/>
      <c r="D62" s="1104"/>
      <c r="E62" s="1103"/>
      <c r="F62" s="1103"/>
      <c r="G62" s="1104"/>
      <c r="H62" s="1104"/>
      <c r="I62" s="1112"/>
      <c r="J62" s="1104">
        <v>350</v>
      </c>
      <c r="K62" s="1106">
        <f>J62</f>
        <v>350</v>
      </c>
      <c r="L62" s="1103"/>
      <c r="M62" s="1104">
        <f>K62+L62</f>
        <v>350</v>
      </c>
      <c r="N62" s="1104"/>
      <c r="O62" s="1106"/>
      <c r="P62" s="1104">
        <f>M62-N62</f>
        <v>350</v>
      </c>
      <c r="Q62" s="1106">
        <f>P62</f>
        <v>350</v>
      </c>
      <c r="R62" s="1103">
        <v>100</v>
      </c>
      <c r="S62" s="1104">
        <f t="shared" si="23"/>
        <v>450</v>
      </c>
      <c r="T62" s="1103">
        <v>350</v>
      </c>
      <c r="U62" s="1106">
        <v>14.59</v>
      </c>
      <c r="V62" s="1104">
        <f t="shared" si="24"/>
        <v>100</v>
      </c>
      <c r="W62" s="1088">
        <v>100</v>
      </c>
      <c r="X62" s="1088">
        <f>'[26]D-9'!D40</f>
        <v>250</v>
      </c>
      <c r="Y62" s="1088">
        <f t="shared" ref="Y62:Y70" si="35">W62+X62</f>
        <v>350</v>
      </c>
      <c r="Z62" s="1088">
        <f>'[26]D-9'!F40</f>
        <v>100</v>
      </c>
      <c r="AA62" s="1089">
        <v>23.351523499999999</v>
      </c>
      <c r="AB62" s="1088">
        <f t="shared" ref="AB62:AB86" si="36">Y62-Z62</f>
        <v>250</v>
      </c>
      <c r="AC62" s="1090">
        <v>250</v>
      </c>
      <c r="AD62" s="1090">
        <f>[24]D9!$D$44</f>
        <v>200</v>
      </c>
      <c r="AE62" s="1090">
        <f t="shared" si="25"/>
        <v>450</v>
      </c>
      <c r="AF62" s="1090">
        <f>[24]D9!$F$44</f>
        <v>100</v>
      </c>
      <c r="AG62" s="1090">
        <f>[24]D9!$G$44</f>
        <v>23.98</v>
      </c>
      <c r="AH62" s="1090">
        <f t="shared" si="26"/>
        <v>350</v>
      </c>
      <c r="AI62" s="1088">
        <f t="shared" si="27"/>
        <v>350</v>
      </c>
      <c r="AJ62" s="696">
        <v>250</v>
      </c>
      <c r="AK62" s="1088">
        <f t="shared" si="28"/>
        <v>600</v>
      </c>
      <c r="AL62" s="696">
        <v>350.05</v>
      </c>
      <c r="AM62" s="707">
        <v>29.97</v>
      </c>
      <c r="AN62" s="1088">
        <f t="shared" si="29"/>
        <v>249.95</v>
      </c>
      <c r="AO62" s="1089">
        <f t="shared" si="30"/>
        <v>249.95</v>
      </c>
      <c r="AP62" s="1088"/>
      <c r="AQ62" s="1088">
        <f t="shared" si="31"/>
        <v>249.95</v>
      </c>
      <c r="AR62" s="1088">
        <v>249.95</v>
      </c>
      <c r="AS62" s="1088">
        <v>12.21</v>
      </c>
      <c r="AT62" s="1088">
        <f t="shared" si="32"/>
        <v>0</v>
      </c>
      <c r="AU62" s="696">
        <f t="shared" si="14"/>
        <v>0</v>
      </c>
      <c r="AV62" s="1088"/>
      <c r="AW62" s="696">
        <f t="shared" si="33"/>
        <v>0</v>
      </c>
      <c r="AX62" s="1088"/>
      <c r="AY62" s="1088"/>
      <c r="AZ62" s="1088">
        <f t="shared" si="34"/>
        <v>0</v>
      </c>
      <c r="BA62" s="1103" t="s">
        <v>1208</v>
      </c>
      <c r="BB62" s="1425">
        <v>0.1</v>
      </c>
      <c r="BC62" s="1103" t="s">
        <v>1209</v>
      </c>
    </row>
    <row r="63" spans="1:58" s="1091" customFormat="1" x14ac:dyDescent="0.2">
      <c r="A63" s="1113">
        <v>3</v>
      </c>
      <c r="B63" s="1114" t="s">
        <v>850</v>
      </c>
      <c r="C63" s="1101"/>
      <c r="D63" s="1104"/>
      <c r="E63" s="1103"/>
      <c r="F63" s="1103"/>
      <c r="G63" s="1104"/>
      <c r="H63" s="1104"/>
      <c r="I63" s="1112"/>
      <c r="J63" s="1104">
        <v>100</v>
      </c>
      <c r="K63" s="1106">
        <f>J63</f>
        <v>100</v>
      </c>
      <c r="L63" s="1103"/>
      <c r="M63" s="1104">
        <f>K63+L63</f>
        <v>100</v>
      </c>
      <c r="N63" s="1104"/>
      <c r="O63" s="1106"/>
      <c r="P63" s="1104">
        <f>M63-N63</f>
        <v>100</v>
      </c>
      <c r="Q63" s="1106">
        <f>P63</f>
        <v>100</v>
      </c>
      <c r="R63" s="1103"/>
      <c r="S63" s="1104">
        <f t="shared" si="23"/>
        <v>100</v>
      </c>
      <c r="T63" s="1103"/>
      <c r="U63" s="1106">
        <v>9.6300000000000008</v>
      </c>
      <c r="V63" s="1104">
        <f t="shared" si="24"/>
        <v>100</v>
      </c>
      <c r="W63" s="1088">
        <v>100</v>
      </c>
      <c r="X63" s="1088">
        <f>'[26]D-9'!D41</f>
        <v>0</v>
      </c>
      <c r="Y63" s="1088">
        <f t="shared" si="35"/>
        <v>100</v>
      </c>
      <c r="Z63" s="1088">
        <v>100</v>
      </c>
      <c r="AA63" s="1089">
        <v>8.5742480000000008</v>
      </c>
      <c r="AB63" s="1088">
        <f t="shared" si="36"/>
        <v>0</v>
      </c>
      <c r="AC63" s="1090">
        <v>0</v>
      </c>
      <c r="AD63" s="1090"/>
      <c r="AE63" s="1090">
        <f t="shared" si="25"/>
        <v>0</v>
      </c>
      <c r="AF63" s="1090"/>
      <c r="AG63" s="1090">
        <f>[24]D9!$G$45</f>
        <v>7.43</v>
      </c>
      <c r="AH63" s="1090">
        <f t="shared" si="26"/>
        <v>0</v>
      </c>
      <c r="AI63" s="1088">
        <f t="shared" si="27"/>
        <v>0</v>
      </c>
      <c r="AJ63" s="696">
        <v>1400</v>
      </c>
      <c r="AK63" s="1088">
        <f t="shared" si="28"/>
        <v>1400</v>
      </c>
      <c r="AL63" s="696">
        <v>669.62</v>
      </c>
      <c r="AM63" s="707">
        <v>43.48</v>
      </c>
      <c r="AN63" s="1088">
        <f t="shared" si="29"/>
        <v>730.38</v>
      </c>
      <c r="AO63" s="1089">
        <f t="shared" si="30"/>
        <v>730.38</v>
      </c>
      <c r="AP63" s="1088">
        <v>800</v>
      </c>
      <c r="AQ63" s="1088">
        <f t="shared" si="31"/>
        <v>1530.38</v>
      </c>
      <c r="AR63" s="1088">
        <v>921.8</v>
      </c>
      <c r="AS63" s="1088">
        <v>41.65</v>
      </c>
      <c r="AT63" s="1088">
        <f t="shared" si="32"/>
        <v>608.58000000000015</v>
      </c>
      <c r="AU63" s="696">
        <f t="shared" si="14"/>
        <v>608.58000000000015</v>
      </c>
      <c r="AV63" s="1088">
        <v>800</v>
      </c>
      <c r="AW63" s="696">
        <f t="shared" si="33"/>
        <v>1408.5800000000002</v>
      </c>
      <c r="AX63" s="1088">
        <v>995.6</v>
      </c>
      <c r="AY63" s="1088">
        <v>28.72</v>
      </c>
      <c r="AZ63" s="1088">
        <f t="shared" si="34"/>
        <v>412.98000000000013</v>
      </c>
      <c r="BA63" s="1103" t="s">
        <v>1210</v>
      </c>
      <c r="BB63" s="1103" t="s">
        <v>1211</v>
      </c>
      <c r="BC63" s="1103" t="s">
        <v>1209</v>
      </c>
    </row>
    <row r="64" spans="1:58" s="1091" customFormat="1" x14ac:dyDescent="0.2">
      <c r="A64" s="1113">
        <v>4</v>
      </c>
      <c r="B64" s="1091" t="s">
        <v>854</v>
      </c>
      <c r="C64" s="1101"/>
      <c r="D64" s="1104"/>
      <c r="E64" s="1103"/>
      <c r="F64" s="1103"/>
      <c r="G64" s="1104"/>
      <c r="H64" s="1104"/>
      <c r="I64" s="1112"/>
      <c r="J64" s="1104">
        <v>343.7</v>
      </c>
      <c r="K64" s="1106">
        <f>J64</f>
        <v>343.7</v>
      </c>
      <c r="L64" s="1103"/>
      <c r="M64" s="1104">
        <f>K64+L64</f>
        <v>343.7</v>
      </c>
      <c r="N64" s="1104"/>
      <c r="O64" s="1106"/>
      <c r="P64" s="1104">
        <f>M64-N64</f>
        <v>343.7</v>
      </c>
      <c r="Q64" s="1106">
        <f>P64</f>
        <v>343.7</v>
      </c>
      <c r="R64" s="1103"/>
      <c r="S64" s="1104">
        <f t="shared" si="23"/>
        <v>343.7</v>
      </c>
      <c r="T64" s="1103">
        <v>250</v>
      </c>
      <c r="U64" s="1106">
        <v>19.14</v>
      </c>
      <c r="V64" s="1104">
        <f t="shared" si="24"/>
        <v>93.699999999999989</v>
      </c>
      <c r="W64" s="1088">
        <v>93.699999999999989</v>
      </c>
      <c r="X64" s="1088">
        <f>'[26]D-9'!D42</f>
        <v>0</v>
      </c>
      <c r="Y64" s="1088">
        <f t="shared" si="35"/>
        <v>93.699999999999989</v>
      </c>
      <c r="Z64" s="1088">
        <f>'[26]D-9'!F42</f>
        <v>93.7</v>
      </c>
      <c r="AA64" s="1089">
        <v>3.4006196000000002</v>
      </c>
      <c r="AB64" s="1088">
        <f t="shared" si="36"/>
        <v>0</v>
      </c>
      <c r="AC64" s="1090">
        <v>0</v>
      </c>
      <c r="AD64" s="1090"/>
      <c r="AE64" s="1090">
        <f t="shared" si="25"/>
        <v>0</v>
      </c>
      <c r="AH64" s="1090">
        <f t="shared" si="26"/>
        <v>0</v>
      </c>
      <c r="AI64" s="1088">
        <f t="shared" si="27"/>
        <v>0</v>
      </c>
      <c r="AJ64" s="696"/>
      <c r="AK64" s="1088">
        <f t="shared" si="28"/>
        <v>0</v>
      </c>
      <c r="AL64" s="696"/>
      <c r="AM64" s="707"/>
      <c r="AN64" s="1088">
        <f t="shared" si="29"/>
        <v>0</v>
      </c>
      <c r="AO64" s="1089">
        <f t="shared" si="30"/>
        <v>0</v>
      </c>
      <c r="AP64" s="1088"/>
      <c r="AQ64" s="1088">
        <f t="shared" si="31"/>
        <v>0</v>
      </c>
      <c r="AR64" s="1088"/>
      <c r="AS64" s="1088"/>
      <c r="AT64" s="1088">
        <f t="shared" si="32"/>
        <v>0</v>
      </c>
      <c r="AU64" s="696">
        <f t="shared" si="14"/>
        <v>0</v>
      </c>
      <c r="AV64" s="1088"/>
      <c r="AW64" s="696">
        <f t="shared" si="33"/>
        <v>0</v>
      </c>
      <c r="AX64" s="1088"/>
      <c r="AY64" s="1088"/>
      <c r="AZ64" s="1088">
        <f t="shared" si="34"/>
        <v>0</v>
      </c>
      <c r="BA64" s="1103"/>
      <c r="BB64" s="1103"/>
      <c r="BC64" s="1103" t="s">
        <v>1209</v>
      </c>
    </row>
    <row r="65" spans="1:56" s="1091" customFormat="1" x14ac:dyDescent="0.2">
      <c r="A65" s="1113">
        <v>5</v>
      </c>
      <c r="B65" s="1114" t="s">
        <v>852</v>
      </c>
      <c r="C65" s="1101"/>
      <c r="D65" s="1104"/>
      <c r="E65" s="1103"/>
      <c r="F65" s="1103"/>
      <c r="G65" s="1104"/>
      <c r="H65" s="1104"/>
      <c r="I65" s="1112"/>
      <c r="J65" s="1104">
        <v>56.25</v>
      </c>
      <c r="K65" s="1103">
        <f>J65</f>
        <v>56.25</v>
      </c>
      <c r="L65" s="1103"/>
      <c r="M65" s="1104">
        <f>K65+L65</f>
        <v>56.25</v>
      </c>
      <c r="N65" s="1104"/>
      <c r="O65" s="1106"/>
      <c r="P65" s="1104">
        <f>M65-N65</f>
        <v>56.25</v>
      </c>
      <c r="Q65" s="1106">
        <f>P65</f>
        <v>56.25</v>
      </c>
      <c r="R65" s="1103">
        <v>250</v>
      </c>
      <c r="S65" s="1104">
        <f t="shared" si="23"/>
        <v>306.25</v>
      </c>
      <c r="T65" s="1103">
        <v>170.87</v>
      </c>
      <c r="U65" s="1106">
        <v>19.96</v>
      </c>
      <c r="V65" s="1104">
        <f t="shared" si="24"/>
        <v>135.38</v>
      </c>
      <c r="W65" s="1088">
        <v>135.38</v>
      </c>
      <c r="X65" s="1088">
        <f>'[26]D-9'!D43</f>
        <v>0</v>
      </c>
      <c r="Y65" s="1088">
        <f t="shared" si="35"/>
        <v>135.38</v>
      </c>
      <c r="Z65" s="1088">
        <f>'[26]D-9'!F43</f>
        <v>125.04</v>
      </c>
      <c r="AA65" s="1089">
        <v>6.9780458000000003</v>
      </c>
      <c r="AB65" s="1088">
        <f t="shared" si="36"/>
        <v>10.339999999999989</v>
      </c>
      <c r="AC65" s="1090">
        <v>10.339999999999989</v>
      </c>
      <c r="AD65" s="1090"/>
      <c r="AE65" s="1090">
        <f t="shared" si="25"/>
        <v>10.339999999999989</v>
      </c>
      <c r="AF65" s="1090">
        <f>[24]D9!$F$46</f>
        <v>10.34</v>
      </c>
      <c r="AG65" s="1090">
        <f>[24]D9!$G$46</f>
        <v>7.0000000000000007E-2</v>
      </c>
      <c r="AH65" s="1090">
        <f t="shared" si="26"/>
        <v>0</v>
      </c>
      <c r="AI65" s="1088">
        <f t="shared" si="27"/>
        <v>0</v>
      </c>
      <c r="AJ65" s="696"/>
      <c r="AK65" s="1088">
        <f t="shared" si="28"/>
        <v>0</v>
      </c>
      <c r="AL65" s="696"/>
      <c r="AM65" s="707"/>
      <c r="AN65" s="1088">
        <f t="shared" si="29"/>
        <v>0</v>
      </c>
      <c r="AO65" s="1089">
        <f t="shared" si="30"/>
        <v>0</v>
      </c>
      <c r="AP65" s="1088">
        <v>420</v>
      </c>
      <c r="AQ65" s="1088">
        <f t="shared" si="31"/>
        <v>420</v>
      </c>
      <c r="AR65" s="1088">
        <v>210</v>
      </c>
      <c r="AS65" s="1088">
        <v>10.99</v>
      </c>
      <c r="AT65" s="1088">
        <f t="shared" si="32"/>
        <v>210</v>
      </c>
      <c r="AU65" s="696">
        <f t="shared" si="14"/>
        <v>210</v>
      </c>
      <c r="AV65" s="1088">
        <v>420</v>
      </c>
      <c r="AW65" s="696">
        <f t="shared" si="33"/>
        <v>630</v>
      </c>
      <c r="AX65" s="1088">
        <v>420</v>
      </c>
      <c r="AY65" s="1088">
        <v>18.489999999999998</v>
      </c>
      <c r="AZ65" s="1088">
        <f t="shared" si="34"/>
        <v>210</v>
      </c>
      <c r="BA65" s="1103" t="s">
        <v>1212</v>
      </c>
      <c r="BB65" s="1426">
        <v>7.85E-2</v>
      </c>
      <c r="BC65" s="1103" t="s">
        <v>1209</v>
      </c>
    </row>
    <row r="66" spans="1:56" s="1091" customFormat="1" x14ac:dyDescent="0.2">
      <c r="A66" s="1113">
        <v>6</v>
      </c>
      <c r="B66" s="1091" t="s">
        <v>855</v>
      </c>
      <c r="C66" s="1101"/>
      <c r="D66" s="1104"/>
      <c r="E66" s="1103"/>
      <c r="F66" s="1103"/>
      <c r="G66" s="1104"/>
      <c r="H66" s="1104"/>
      <c r="I66" s="1112"/>
      <c r="J66" s="1104"/>
      <c r="K66" s="1103"/>
      <c r="L66" s="1103"/>
      <c r="M66" s="1104"/>
      <c r="N66" s="1104"/>
      <c r="O66" s="1106"/>
      <c r="P66" s="1104"/>
      <c r="Q66" s="1106"/>
      <c r="R66" s="1103">
        <v>250</v>
      </c>
      <c r="S66" s="1104">
        <f t="shared" si="23"/>
        <v>250</v>
      </c>
      <c r="T66" s="1103">
        <v>68.19</v>
      </c>
      <c r="U66" s="1106">
        <v>14.08</v>
      </c>
      <c r="V66" s="1104">
        <f t="shared" si="24"/>
        <v>181.81</v>
      </c>
      <c r="W66" s="1088">
        <v>181.81</v>
      </c>
      <c r="X66" s="1088">
        <v>0</v>
      </c>
      <c r="Y66" s="1088">
        <f t="shared" si="35"/>
        <v>181.81</v>
      </c>
      <c r="Z66" s="1088">
        <v>181.81</v>
      </c>
      <c r="AA66" s="1089">
        <v>0.76272629999999997</v>
      </c>
      <c r="AB66" s="1088">
        <f t="shared" si="36"/>
        <v>0</v>
      </c>
      <c r="AC66" s="1090">
        <v>0</v>
      </c>
      <c r="AD66" s="1090"/>
      <c r="AE66" s="1090">
        <f t="shared" si="25"/>
        <v>0</v>
      </c>
      <c r="AF66" s="1090"/>
      <c r="AH66" s="1090">
        <f t="shared" si="26"/>
        <v>0</v>
      </c>
      <c r="AI66" s="1088">
        <f t="shared" si="27"/>
        <v>0</v>
      </c>
      <c r="AJ66" s="696">
        <v>250</v>
      </c>
      <c r="AK66" s="1088">
        <f t="shared" si="28"/>
        <v>250</v>
      </c>
      <c r="AL66" s="696">
        <v>12.51</v>
      </c>
      <c r="AM66" s="707">
        <v>1.44</v>
      </c>
      <c r="AN66" s="1088">
        <f t="shared" si="29"/>
        <v>237.49</v>
      </c>
      <c r="AO66" s="1089">
        <f t="shared" si="30"/>
        <v>237.49</v>
      </c>
      <c r="AP66" s="1088"/>
      <c r="AQ66" s="1088">
        <f t="shared" si="31"/>
        <v>237.49</v>
      </c>
      <c r="AR66" s="1088">
        <v>237.49</v>
      </c>
      <c r="AS66" s="1088">
        <v>10.25</v>
      </c>
      <c r="AT66" s="1088">
        <f t="shared" si="32"/>
        <v>0</v>
      </c>
      <c r="AU66" s="696">
        <f t="shared" si="14"/>
        <v>0</v>
      </c>
      <c r="AV66" s="1088"/>
      <c r="AW66" s="696">
        <f t="shared" si="33"/>
        <v>0</v>
      </c>
      <c r="AX66" s="1088"/>
      <c r="AY66" s="1088"/>
      <c r="AZ66" s="1088">
        <f t="shared" si="34"/>
        <v>0</v>
      </c>
      <c r="BA66" s="1103" t="s">
        <v>1213</v>
      </c>
      <c r="BB66" s="1426">
        <v>8.2500000000000004E-2</v>
      </c>
      <c r="BC66" s="1103" t="s">
        <v>1209</v>
      </c>
    </row>
    <row r="67" spans="1:56" s="1091" customFormat="1" x14ac:dyDescent="0.2">
      <c r="A67" s="1113">
        <v>7</v>
      </c>
      <c r="B67" s="1114" t="s">
        <v>853</v>
      </c>
      <c r="C67" s="1101"/>
      <c r="D67" s="1104"/>
      <c r="E67" s="1103"/>
      <c r="F67" s="1103"/>
      <c r="G67" s="1104"/>
      <c r="H67" s="1104"/>
      <c r="I67" s="1112"/>
      <c r="J67" s="1104"/>
      <c r="K67" s="1103"/>
      <c r="L67" s="1103"/>
      <c r="M67" s="1104"/>
      <c r="N67" s="1104"/>
      <c r="O67" s="1106"/>
      <c r="P67" s="1104"/>
      <c r="Q67" s="1106"/>
      <c r="R67" s="1103">
        <v>248</v>
      </c>
      <c r="S67" s="1104">
        <f t="shared" si="23"/>
        <v>248</v>
      </c>
      <c r="T67" s="1103"/>
      <c r="U67" s="1106">
        <v>9.16</v>
      </c>
      <c r="V67" s="1104">
        <f t="shared" si="24"/>
        <v>248</v>
      </c>
      <c r="W67" s="1088">
        <v>248</v>
      </c>
      <c r="X67" s="1088">
        <f>'[26]D-9'!D45</f>
        <v>0</v>
      </c>
      <c r="Y67" s="1088">
        <f t="shared" si="35"/>
        <v>248</v>
      </c>
      <c r="Z67" s="1088">
        <f>'[26]D-9'!F45</f>
        <v>144</v>
      </c>
      <c r="AA67" s="1089">
        <v>15.8594081</v>
      </c>
      <c r="AB67" s="1088">
        <f t="shared" si="36"/>
        <v>104</v>
      </c>
      <c r="AC67" s="1090">
        <v>104</v>
      </c>
      <c r="AD67" s="1090"/>
      <c r="AE67" s="1090">
        <f t="shared" si="25"/>
        <v>104</v>
      </c>
      <c r="AF67" s="1090">
        <f>[24]D9!$F$47</f>
        <v>104</v>
      </c>
      <c r="AG67" s="1090">
        <f>[24]D9!$G$47</f>
        <v>3.61</v>
      </c>
      <c r="AH67" s="1090">
        <f t="shared" si="26"/>
        <v>0</v>
      </c>
      <c r="AI67" s="1088">
        <f t="shared" si="27"/>
        <v>0</v>
      </c>
      <c r="AJ67" s="696">
        <v>400</v>
      </c>
      <c r="AK67" s="1088">
        <f t="shared" si="28"/>
        <v>400</v>
      </c>
      <c r="AL67" s="696">
        <v>99.99</v>
      </c>
      <c r="AM67" s="707">
        <v>19.11</v>
      </c>
      <c r="AN67" s="1088">
        <f t="shared" si="29"/>
        <v>300.01</v>
      </c>
      <c r="AO67" s="1089">
        <f t="shared" si="30"/>
        <v>300.01</v>
      </c>
      <c r="AP67" s="1088"/>
      <c r="AQ67" s="1088">
        <f t="shared" si="31"/>
        <v>300.01</v>
      </c>
      <c r="AR67" s="1088">
        <v>116.64</v>
      </c>
      <c r="AS67" s="1088">
        <f>22.83+1.1</f>
        <v>23.93</v>
      </c>
      <c r="AT67" s="1088">
        <f t="shared" si="32"/>
        <v>183.37</v>
      </c>
      <c r="AU67" s="696">
        <f t="shared" si="14"/>
        <v>183.37</v>
      </c>
      <c r="AV67" s="1088"/>
      <c r="AW67" s="696">
        <f t="shared" si="33"/>
        <v>183.37</v>
      </c>
      <c r="AX67" s="1088">
        <v>183.37</v>
      </c>
      <c r="AY67" s="1088">
        <v>8.26</v>
      </c>
      <c r="AZ67" s="1088">
        <f t="shared" si="34"/>
        <v>0</v>
      </c>
      <c r="BA67" s="1103" t="s">
        <v>1214</v>
      </c>
      <c r="BB67" s="1426">
        <v>0.08</v>
      </c>
      <c r="BC67" s="1103" t="s">
        <v>1209</v>
      </c>
    </row>
    <row r="68" spans="1:56" s="1091" customFormat="1" x14ac:dyDescent="0.2">
      <c r="A68" s="1113">
        <v>8</v>
      </c>
      <c r="B68" s="1114" t="s">
        <v>940</v>
      </c>
      <c r="C68" s="1101"/>
      <c r="D68" s="1104"/>
      <c r="E68" s="1103"/>
      <c r="F68" s="1103"/>
      <c r="G68" s="1104"/>
      <c r="H68" s="1104"/>
      <c r="I68" s="1112"/>
      <c r="J68" s="1104"/>
      <c r="K68" s="1103"/>
      <c r="L68" s="1103"/>
      <c r="M68" s="1104"/>
      <c r="N68" s="1104"/>
      <c r="O68" s="1106"/>
      <c r="P68" s="1104"/>
      <c r="Q68" s="1106"/>
      <c r="R68" s="1103"/>
      <c r="S68" s="1104"/>
      <c r="T68" s="1103"/>
      <c r="U68" s="1106"/>
      <c r="V68" s="1104"/>
      <c r="W68" s="1088">
        <f>'[26]D-9'!C46</f>
        <v>0</v>
      </c>
      <c r="X68" s="1088">
        <v>100</v>
      </c>
      <c r="Y68" s="1088">
        <f t="shared" si="35"/>
        <v>100</v>
      </c>
      <c r="Z68" s="1088">
        <v>0</v>
      </c>
      <c r="AA68" s="1089">
        <v>4.0265754999999999</v>
      </c>
      <c r="AB68" s="1088">
        <f t="shared" si="36"/>
        <v>100</v>
      </c>
      <c r="AC68" s="1090">
        <v>100</v>
      </c>
      <c r="AD68" s="1090"/>
      <c r="AE68" s="1090">
        <f t="shared" si="25"/>
        <v>100</v>
      </c>
      <c r="AF68" s="1090">
        <v>100</v>
      </c>
      <c r="AG68" s="1090">
        <f>[24]D9!$G$48</f>
        <v>20.37</v>
      </c>
      <c r="AH68" s="1090">
        <f t="shared" si="26"/>
        <v>0</v>
      </c>
      <c r="AI68" s="1088">
        <f t="shared" si="27"/>
        <v>0</v>
      </c>
      <c r="AJ68" s="696"/>
      <c r="AK68" s="1088">
        <f t="shared" si="28"/>
        <v>0</v>
      </c>
      <c r="AL68" s="696"/>
      <c r="AM68" s="707"/>
      <c r="AN68" s="1088">
        <f t="shared" si="29"/>
        <v>0</v>
      </c>
      <c r="AO68" s="1089">
        <f t="shared" si="30"/>
        <v>0</v>
      </c>
      <c r="AP68" s="1088"/>
      <c r="AQ68" s="1088">
        <f t="shared" si="31"/>
        <v>0</v>
      </c>
      <c r="AR68" s="1088"/>
      <c r="AS68" s="1088"/>
      <c r="AT68" s="1088">
        <f t="shared" si="32"/>
        <v>0</v>
      </c>
      <c r="AU68" s="696">
        <f t="shared" si="14"/>
        <v>0</v>
      </c>
      <c r="AV68" s="1088"/>
      <c r="AW68" s="696">
        <f t="shared" si="33"/>
        <v>0</v>
      </c>
      <c r="AX68" s="1088"/>
      <c r="AY68" s="1088"/>
      <c r="AZ68" s="1088">
        <f t="shared" si="34"/>
        <v>0</v>
      </c>
      <c r="BA68" s="1103"/>
      <c r="BB68" s="1426"/>
      <c r="BC68" s="1103" t="s">
        <v>1209</v>
      </c>
    </row>
    <row r="69" spans="1:56" s="1091" customFormat="1" x14ac:dyDescent="0.2">
      <c r="A69" s="1113">
        <v>9</v>
      </c>
      <c r="B69" s="1114" t="s">
        <v>943</v>
      </c>
      <c r="C69" s="1101"/>
      <c r="D69" s="1104"/>
      <c r="E69" s="1103"/>
      <c r="F69" s="1103"/>
      <c r="G69" s="1104"/>
      <c r="H69" s="1104"/>
      <c r="I69" s="1112"/>
      <c r="J69" s="1104"/>
      <c r="K69" s="1103"/>
      <c r="L69" s="1103"/>
      <c r="M69" s="1104"/>
      <c r="N69" s="1104"/>
      <c r="O69" s="1106"/>
      <c r="P69" s="1104"/>
      <c r="Q69" s="1106"/>
      <c r="R69" s="1103"/>
      <c r="S69" s="1104"/>
      <c r="T69" s="1103"/>
      <c r="U69" s="1106"/>
      <c r="V69" s="1104"/>
      <c r="W69" s="1088"/>
      <c r="X69" s="1088"/>
      <c r="Y69" s="1088"/>
      <c r="Z69" s="1088"/>
      <c r="AA69" s="1089"/>
      <c r="AB69" s="1088"/>
      <c r="AC69" s="1090"/>
      <c r="AD69" s="1090"/>
      <c r="AE69" s="1090">
        <f t="shared" si="25"/>
        <v>0</v>
      </c>
      <c r="AF69" s="1090"/>
      <c r="AH69" s="1090">
        <f t="shared" si="26"/>
        <v>0</v>
      </c>
      <c r="AI69" s="1088">
        <f t="shared" si="27"/>
        <v>0</v>
      </c>
      <c r="AJ69" s="696"/>
      <c r="AK69" s="1088">
        <f t="shared" si="28"/>
        <v>0</v>
      </c>
      <c r="AL69" s="696"/>
      <c r="AM69" s="707"/>
      <c r="AN69" s="1088">
        <f t="shared" si="29"/>
        <v>0</v>
      </c>
      <c r="AO69" s="1089">
        <f t="shared" si="30"/>
        <v>0</v>
      </c>
      <c r="AP69" s="1088"/>
      <c r="AQ69" s="1088">
        <f t="shared" si="31"/>
        <v>0</v>
      </c>
      <c r="AR69" s="1088"/>
      <c r="AS69" s="1088"/>
      <c r="AT69" s="1088">
        <f t="shared" si="32"/>
        <v>0</v>
      </c>
      <c r="AU69" s="696">
        <f t="shared" si="14"/>
        <v>0</v>
      </c>
      <c r="AV69" s="1088"/>
      <c r="AW69" s="696">
        <f t="shared" si="33"/>
        <v>0</v>
      </c>
      <c r="AX69" s="1088"/>
      <c r="AY69" s="1088"/>
      <c r="AZ69" s="1088">
        <f t="shared" si="34"/>
        <v>0</v>
      </c>
      <c r="BA69" s="1103"/>
      <c r="BB69" s="1426"/>
      <c r="BC69" s="1103" t="s">
        <v>1209</v>
      </c>
    </row>
    <row r="70" spans="1:56" s="1091" customFormat="1" x14ac:dyDescent="0.2">
      <c r="A70" s="1113">
        <v>10</v>
      </c>
      <c r="B70" s="1114" t="s">
        <v>851</v>
      </c>
      <c r="C70" s="1101"/>
      <c r="D70" s="1104"/>
      <c r="E70" s="1103"/>
      <c r="F70" s="1103"/>
      <c r="G70" s="1104"/>
      <c r="H70" s="1104"/>
      <c r="I70" s="1112"/>
      <c r="J70" s="1104"/>
      <c r="K70" s="1103"/>
      <c r="L70" s="1103"/>
      <c r="M70" s="1104"/>
      <c r="N70" s="1104"/>
      <c r="O70" s="1106"/>
      <c r="P70" s="1104"/>
      <c r="Q70" s="1106"/>
      <c r="R70" s="1103"/>
      <c r="S70" s="1104"/>
      <c r="T70" s="1103"/>
      <c r="U70" s="1106"/>
      <c r="V70" s="1104"/>
      <c r="W70" s="1088">
        <f>'[26]D-9'!C47</f>
        <v>0</v>
      </c>
      <c r="X70" s="1088">
        <f>'[26]D-9'!D47</f>
        <v>200</v>
      </c>
      <c r="Y70" s="1088">
        <f t="shared" si="35"/>
        <v>200</v>
      </c>
      <c r="Z70" s="1088">
        <f>'[26]D-9'!F47</f>
        <v>0</v>
      </c>
      <c r="AA70" s="1089">
        <v>0.23013700000000001</v>
      </c>
      <c r="AB70" s="1088">
        <f t="shared" si="36"/>
        <v>200</v>
      </c>
      <c r="AC70" s="1090">
        <v>200</v>
      </c>
      <c r="AD70" s="1090"/>
      <c r="AE70" s="1090">
        <f t="shared" si="25"/>
        <v>200</v>
      </c>
      <c r="AF70" s="1090">
        <f>[24]D9!$F$49</f>
        <v>99.97999999999999</v>
      </c>
      <c r="AG70" s="1090">
        <f>[24]D9!$G$49</f>
        <v>12.85</v>
      </c>
      <c r="AH70" s="1090">
        <f t="shared" si="26"/>
        <v>100.02000000000001</v>
      </c>
      <c r="AI70" s="1088">
        <f t="shared" si="27"/>
        <v>100.02000000000001</v>
      </c>
      <c r="AJ70" s="696">
        <v>200</v>
      </c>
      <c r="AK70" s="1088">
        <f t="shared" si="28"/>
        <v>300.02</v>
      </c>
      <c r="AL70" s="696">
        <v>174.99</v>
      </c>
      <c r="AM70" s="707">
        <v>15.98</v>
      </c>
      <c r="AN70" s="1088">
        <f t="shared" si="29"/>
        <v>125.02999999999997</v>
      </c>
      <c r="AO70" s="1089">
        <f t="shared" si="30"/>
        <v>125.02999999999997</v>
      </c>
      <c r="AP70" s="1088"/>
      <c r="AQ70" s="1088">
        <f t="shared" si="31"/>
        <v>125.02999999999997</v>
      </c>
      <c r="AR70" s="1088">
        <v>58.31</v>
      </c>
      <c r="AS70" s="1088">
        <v>8.98</v>
      </c>
      <c r="AT70" s="1088">
        <f t="shared" si="32"/>
        <v>66.71999999999997</v>
      </c>
      <c r="AU70" s="696">
        <f t="shared" si="14"/>
        <v>66.71999999999997</v>
      </c>
      <c r="AV70" s="1088"/>
      <c r="AW70" s="696">
        <f t="shared" si="33"/>
        <v>66.71999999999997</v>
      </c>
      <c r="AX70" s="1088">
        <v>66.72</v>
      </c>
      <c r="AY70" s="1088">
        <v>2.25</v>
      </c>
      <c r="AZ70" s="1088">
        <f t="shared" si="34"/>
        <v>0</v>
      </c>
      <c r="BA70" s="1103" t="s">
        <v>1215</v>
      </c>
      <c r="BB70" s="1426">
        <v>0.08</v>
      </c>
      <c r="BC70" s="1103" t="s">
        <v>1209</v>
      </c>
    </row>
    <row r="71" spans="1:56" s="1091" customFormat="1" x14ac:dyDescent="0.2">
      <c r="A71" s="1113">
        <v>11</v>
      </c>
      <c r="B71" s="1114" t="s">
        <v>944</v>
      </c>
      <c r="C71" s="1101"/>
      <c r="D71" s="1104"/>
      <c r="E71" s="1103"/>
      <c r="F71" s="1103"/>
      <c r="G71" s="1104"/>
      <c r="H71" s="1104"/>
      <c r="I71" s="1112"/>
      <c r="J71" s="1104"/>
      <c r="K71" s="1103"/>
      <c r="L71" s="1103"/>
      <c r="M71" s="1104"/>
      <c r="N71" s="1104"/>
      <c r="O71" s="1106"/>
      <c r="P71" s="1104"/>
      <c r="Q71" s="1106"/>
      <c r="R71" s="1103"/>
      <c r="S71" s="1104"/>
      <c r="T71" s="1103"/>
      <c r="U71" s="1106"/>
      <c r="V71" s="1104"/>
      <c r="W71" s="1088"/>
      <c r="X71" s="1088"/>
      <c r="Y71" s="1088"/>
      <c r="Z71" s="1088"/>
      <c r="AA71" s="1089"/>
      <c r="AB71" s="1088"/>
      <c r="AC71" s="1090"/>
      <c r="AD71" s="1090">
        <f>[24]D9!$D$50</f>
        <v>150</v>
      </c>
      <c r="AE71" s="1090">
        <f t="shared" si="25"/>
        <v>150</v>
      </c>
      <c r="AF71" s="1090">
        <f>[24]D9!$F$50</f>
        <v>75</v>
      </c>
      <c r="AG71" s="1090">
        <f>[24]D9!$G$50</f>
        <v>6.01</v>
      </c>
      <c r="AH71" s="1090">
        <f t="shared" si="26"/>
        <v>75</v>
      </c>
      <c r="AI71" s="1088">
        <f t="shared" si="27"/>
        <v>75</v>
      </c>
      <c r="AJ71" s="696">
        <v>150</v>
      </c>
      <c r="AK71" s="1088">
        <f t="shared" si="28"/>
        <v>225</v>
      </c>
      <c r="AL71" s="696">
        <v>200</v>
      </c>
      <c r="AM71" s="707">
        <v>10.98</v>
      </c>
      <c r="AN71" s="1088">
        <f t="shared" si="29"/>
        <v>25</v>
      </c>
      <c r="AO71" s="1089">
        <f t="shared" si="30"/>
        <v>25</v>
      </c>
      <c r="AP71" s="1088"/>
      <c r="AQ71" s="1088">
        <f t="shared" si="31"/>
        <v>25</v>
      </c>
      <c r="AR71" s="1088">
        <v>25</v>
      </c>
      <c r="AS71" s="1088">
        <v>1.0900000000000001</v>
      </c>
      <c r="AT71" s="1088">
        <f t="shared" si="32"/>
        <v>0</v>
      </c>
      <c r="AU71" s="696">
        <f t="shared" si="14"/>
        <v>0</v>
      </c>
      <c r="AV71" s="1088"/>
      <c r="AW71" s="696">
        <f t="shared" si="33"/>
        <v>0</v>
      </c>
      <c r="AX71" s="1088"/>
      <c r="AY71" s="1088"/>
      <c r="AZ71" s="1088">
        <f t="shared" si="34"/>
        <v>0</v>
      </c>
      <c r="BA71" s="1103" t="s">
        <v>1216</v>
      </c>
      <c r="BB71" s="1426">
        <v>0.11749999999999999</v>
      </c>
      <c r="BC71" s="1103" t="s">
        <v>1209</v>
      </c>
    </row>
    <row r="72" spans="1:56" s="1091" customFormat="1" x14ac:dyDescent="0.2">
      <c r="A72" s="1113">
        <v>12</v>
      </c>
      <c r="B72" s="1114" t="s">
        <v>1201</v>
      </c>
      <c r="C72" s="1101"/>
      <c r="D72" s="1104"/>
      <c r="E72" s="1103"/>
      <c r="F72" s="1103"/>
      <c r="G72" s="1104"/>
      <c r="H72" s="1104"/>
      <c r="I72" s="1112"/>
      <c r="J72" s="1104"/>
      <c r="K72" s="1103"/>
      <c r="L72" s="1103"/>
      <c r="M72" s="1104"/>
      <c r="N72" s="1104"/>
      <c r="O72" s="1106"/>
      <c r="P72" s="1104"/>
      <c r="Q72" s="1106"/>
      <c r="R72" s="1103"/>
      <c r="S72" s="1104"/>
      <c r="T72" s="1103"/>
      <c r="U72" s="1106"/>
      <c r="V72" s="1104"/>
      <c r="W72" s="1088"/>
      <c r="X72" s="1088"/>
      <c r="Y72" s="1088"/>
      <c r="Z72" s="1088"/>
      <c r="AA72" s="1089"/>
      <c r="AB72" s="1088"/>
      <c r="AC72" s="1090"/>
      <c r="AD72" s="1090"/>
      <c r="AE72" s="1090"/>
      <c r="AF72" s="1090"/>
      <c r="AG72" s="1090"/>
      <c r="AH72" s="1090"/>
      <c r="AI72" s="1088"/>
      <c r="AJ72" s="696"/>
      <c r="AK72" s="1088">
        <f t="shared" si="28"/>
        <v>0</v>
      </c>
      <c r="AL72" s="696"/>
      <c r="AM72" s="707"/>
      <c r="AN72" s="1088"/>
      <c r="AO72" s="1089"/>
      <c r="AP72" s="1088">
        <v>50</v>
      </c>
      <c r="AQ72" s="1088">
        <f t="shared" si="31"/>
        <v>50</v>
      </c>
      <c r="AR72" s="1088">
        <v>41.67</v>
      </c>
      <c r="AS72" s="1088">
        <v>2.62</v>
      </c>
      <c r="AT72" s="1088">
        <f t="shared" si="32"/>
        <v>8.3299999999999983</v>
      </c>
      <c r="AU72" s="696">
        <f t="shared" si="14"/>
        <v>8.3299999999999983</v>
      </c>
      <c r="AV72" s="1088"/>
      <c r="AW72" s="696">
        <f t="shared" si="33"/>
        <v>8.3299999999999983</v>
      </c>
      <c r="AX72" s="1088">
        <v>8.33</v>
      </c>
      <c r="AY72" s="1088">
        <v>0.05</v>
      </c>
      <c r="AZ72" s="1088">
        <f t="shared" si="34"/>
        <v>0</v>
      </c>
      <c r="BA72" s="1103" t="s">
        <v>1208</v>
      </c>
      <c r="BB72" s="1426">
        <v>7.2499999999999995E-2</v>
      </c>
      <c r="BC72" s="1103" t="s">
        <v>1209</v>
      </c>
    </row>
    <row r="73" spans="1:56" s="1091" customFormat="1" x14ac:dyDescent="0.2">
      <c r="A73" s="1113">
        <v>13</v>
      </c>
      <c r="B73" s="1114" t="s">
        <v>1202</v>
      </c>
      <c r="C73" s="1101"/>
      <c r="D73" s="1104"/>
      <c r="E73" s="1103"/>
      <c r="F73" s="1103"/>
      <c r="G73" s="1104"/>
      <c r="H73" s="1104"/>
      <c r="I73" s="1112"/>
      <c r="J73" s="1104"/>
      <c r="K73" s="1103"/>
      <c r="L73" s="1103"/>
      <c r="M73" s="1104"/>
      <c r="N73" s="1104"/>
      <c r="O73" s="1106"/>
      <c r="P73" s="1104"/>
      <c r="Q73" s="1106"/>
      <c r="R73" s="1103"/>
      <c r="S73" s="1104"/>
      <c r="T73" s="1103"/>
      <c r="U73" s="1106"/>
      <c r="V73" s="1104"/>
      <c r="W73" s="1088"/>
      <c r="X73" s="1088"/>
      <c r="Y73" s="1088"/>
      <c r="Z73" s="1088"/>
      <c r="AA73" s="1089"/>
      <c r="AB73" s="1088"/>
      <c r="AC73" s="1090"/>
      <c r="AD73" s="1090"/>
      <c r="AE73" s="1090"/>
      <c r="AF73" s="1090"/>
      <c r="AG73" s="1090"/>
      <c r="AH73" s="1090"/>
      <c r="AI73" s="1088"/>
      <c r="AJ73" s="696"/>
      <c r="AK73" s="1088">
        <f t="shared" si="28"/>
        <v>0</v>
      </c>
      <c r="AL73" s="696"/>
      <c r="AM73" s="707"/>
      <c r="AN73" s="1088"/>
      <c r="AO73" s="1089"/>
      <c r="AP73" s="1088">
        <v>155</v>
      </c>
      <c r="AQ73" s="1088">
        <f t="shared" si="31"/>
        <v>155</v>
      </c>
      <c r="AR73" s="1088">
        <v>15.5</v>
      </c>
      <c r="AS73" s="1088">
        <v>10.29</v>
      </c>
      <c r="AT73" s="1088">
        <f t="shared" si="32"/>
        <v>139.5</v>
      </c>
      <c r="AU73" s="696">
        <f t="shared" si="14"/>
        <v>139.5</v>
      </c>
      <c r="AV73" s="1088"/>
      <c r="AW73" s="696">
        <f t="shared" si="33"/>
        <v>139.5</v>
      </c>
      <c r="AX73" s="1088">
        <v>117.54</v>
      </c>
      <c r="AY73" s="1088">
        <v>8.01</v>
      </c>
      <c r="AZ73" s="1088">
        <f t="shared" si="34"/>
        <v>21.959999999999994</v>
      </c>
      <c r="BA73" s="1103" t="s">
        <v>1215</v>
      </c>
      <c r="BB73" s="1426">
        <v>7.8E-2</v>
      </c>
      <c r="BC73" s="1103" t="s">
        <v>1209</v>
      </c>
    </row>
    <row r="74" spans="1:56" s="1091" customFormat="1" x14ac:dyDescent="0.2">
      <c r="A74" s="1113">
        <v>14</v>
      </c>
      <c r="B74" s="1114" t="s">
        <v>1192</v>
      </c>
      <c r="C74" s="1101"/>
      <c r="D74" s="1104"/>
      <c r="E74" s="1103"/>
      <c r="F74" s="1103"/>
      <c r="G74" s="1104"/>
      <c r="H74" s="1104"/>
      <c r="I74" s="1112"/>
      <c r="J74" s="1104"/>
      <c r="K74" s="1103"/>
      <c r="L74" s="1103"/>
      <c r="M74" s="1104"/>
      <c r="N74" s="1104"/>
      <c r="O74" s="1106"/>
      <c r="P74" s="1104"/>
      <c r="Q74" s="1106"/>
      <c r="R74" s="1103"/>
      <c r="S74" s="1104"/>
      <c r="T74" s="1103"/>
      <c r="U74" s="1106"/>
      <c r="V74" s="1104"/>
      <c r="W74" s="1088"/>
      <c r="X74" s="1088"/>
      <c r="Y74" s="1088"/>
      <c r="Z74" s="1088"/>
      <c r="AA74" s="1089"/>
      <c r="AB74" s="1088"/>
      <c r="AC74" s="1090"/>
      <c r="AD74" s="1090"/>
      <c r="AE74" s="1090"/>
      <c r="AF74" s="1090"/>
      <c r="AG74" s="1090"/>
      <c r="AH74" s="1090"/>
      <c r="AI74" s="1088"/>
      <c r="AJ74" s="696"/>
      <c r="AK74" s="1088">
        <f t="shared" si="28"/>
        <v>0</v>
      </c>
      <c r="AL74" s="696"/>
      <c r="AM74" s="707"/>
      <c r="AN74" s="1088"/>
      <c r="AO74" s="1089"/>
      <c r="AP74" s="1088">
        <v>135</v>
      </c>
      <c r="AQ74" s="1088">
        <f t="shared" si="31"/>
        <v>135</v>
      </c>
      <c r="AR74" s="1088"/>
      <c r="AS74" s="1088">
        <v>4.9800000000000004</v>
      </c>
      <c r="AT74" s="1088">
        <f t="shared" si="32"/>
        <v>135</v>
      </c>
      <c r="AU74" s="696">
        <f t="shared" si="14"/>
        <v>135</v>
      </c>
      <c r="AV74" s="1088"/>
      <c r="AW74" s="696">
        <f t="shared" si="33"/>
        <v>135</v>
      </c>
      <c r="AX74" s="1088">
        <v>90</v>
      </c>
      <c r="AY74" s="1088">
        <v>7.79</v>
      </c>
      <c r="AZ74" s="1088">
        <f t="shared" si="34"/>
        <v>45</v>
      </c>
      <c r="BA74" s="1103" t="s">
        <v>1215</v>
      </c>
      <c r="BB74" s="1426">
        <v>7.3999999999999996E-2</v>
      </c>
      <c r="BC74" s="1103" t="s">
        <v>1209</v>
      </c>
    </row>
    <row r="75" spans="1:56" s="1091" customFormat="1" x14ac:dyDescent="0.2">
      <c r="A75" s="1113">
        <v>15</v>
      </c>
      <c r="B75" s="1114" t="s">
        <v>1203</v>
      </c>
      <c r="C75" s="1101"/>
      <c r="D75" s="1104"/>
      <c r="E75" s="1103"/>
      <c r="F75" s="1103"/>
      <c r="G75" s="1104"/>
      <c r="H75" s="1104"/>
      <c r="I75" s="1112"/>
      <c r="J75" s="1104"/>
      <c r="K75" s="1103"/>
      <c r="L75" s="1103"/>
      <c r="M75" s="1104"/>
      <c r="N75" s="1104"/>
      <c r="O75" s="1106"/>
      <c r="P75" s="1104"/>
      <c r="Q75" s="1106"/>
      <c r="R75" s="1103"/>
      <c r="S75" s="1104"/>
      <c r="T75" s="1103"/>
      <c r="U75" s="1106"/>
      <c r="V75" s="1104"/>
      <c r="W75" s="1088"/>
      <c r="X75" s="1088"/>
      <c r="Y75" s="1088"/>
      <c r="Z75" s="1088"/>
      <c r="AA75" s="1089"/>
      <c r="AB75" s="1088"/>
      <c r="AC75" s="1090"/>
      <c r="AD75" s="1090"/>
      <c r="AE75" s="1090"/>
      <c r="AF75" s="1090"/>
      <c r="AG75" s="1090"/>
      <c r="AH75" s="1090"/>
      <c r="AI75" s="1088"/>
      <c r="AJ75" s="696"/>
      <c r="AK75" s="1088">
        <f t="shared" si="28"/>
        <v>0</v>
      </c>
      <c r="AL75" s="696"/>
      <c r="AM75" s="707"/>
      <c r="AN75" s="1088"/>
      <c r="AO75" s="1089"/>
      <c r="AP75" s="1088">
        <v>200</v>
      </c>
      <c r="AQ75" s="1088">
        <f t="shared" si="31"/>
        <v>200</v>
      </c>
      <c r="AR75" s="1088">
        <v>52.2</v>
      </c>
      <c r="AS75" s="1088">
        <v>8.07</v>
      </c>
      <c r="AT75" s="1088">
        <f t="shared" si="32"/>
        <v>147.80000000000001</v>
      </c>
      <c r="AU75" s="696">
        <f t="shared" si="14"/>
        <v>147.80000000000001</v>
      </c>
      <c r="AV75" s="1088"/>
      <c r="AW75" s="696">
        <f t="shared" si="33"/>
        <v>147.80000000000001</v>
      </c>
      <c r="AX75" s="1088">
        <v>104.4</v>
      </c>
      <c r="AY75" s="1088">
        <v>8.64</v>
      </c>
      <c r="AZ75" s="1088">
        <f t="shared" si="34"/>
        <v>43.400000000000006</v>
      </c>
      <c r="BA75" s="1103" t="s">
        <v>1217</v>
      </c>
      <c r="BB75" s="1426">
        <v>7.6999999999999999E-2</v>
      </c>
      <c r="BC75" s="1103" t="s">
        <v>1209</v>
      </c>
    </row>
    <row r="76" spans="1:56" s="1091" customFormat="1" x14ac:dyDescent="0.2">
      <c r="A76" s="1113">
        <v>16</v>
      </c>
      <c r="B76" s="1114" t="s">
        <v>1204</v>
      </c>
      <c r="C76" s="1101"/>
      <c r="D76" s="1104"/>
      <c r="E76" s="1103"/>
      <c r="F76" s="1103"/>
      <c r="G76" s="1104"/>
      <c r="H76" s="1104"/>
      <c r="I76" s="1112"/>
      <c r="J76" s="1104"/>
      <c r="K76" s="1103"/>
      <c r="L76" s="1103"/>
      <c r="M76" s="1104"/>
      <c r="N76" s="1104"/>
      <c r="O76" s="1106"/>
      <c r="P76" s="1104"/>
      <c r="Q76" s="1106"/>
      <c r="R76" s="1103"/>
      <c r="S76" s="1104"/>
      <c r="T76" s="1103"/>
      <c r="U76" s="1106"/>
      <c r="V76" s="1104"/>
      <c r="W76" s="1088"/>
      <c r="X76" s="1088"/>
      <c r="Y76" s="1088"/>
      <c r="Z76" s="1088"/>
      <c r="AA76" s="1089"/>
      <c r="AB76" s="1088"/>
      <c r="AC76" s="1090"/>
      <c r="AD76" s="1090"/>
      <c r="AE76" s="1090"/>
      <c r="AF76" s="1090"/>
      <c r="AG76" s="1090"/>
      <c r="AH76" s="1090"/>
      <c r="AI76" s="1088"/>
      <c r="AJ76" s="696"/>
      <c r="AK76" s="1088">
        <f t="shared" si="28"/>
        <v>0</v>
      </c>
      <c r="AL76" s="696"/>
      <c r="AM76" s="707"/>
      <c r="AN76" s="1088"/>
      <c r="AO76" s="1089"/>
      <c r="AP76" s="1088"/>
      <c r="AQ76" s="1088">
        <f t="shared" si="31"/>
        <v>0</v>
      </c>
      <c r="AR76" s="1088"/>
      <c r="AS76" s="1088"/>
      <c r="AT76" s="1088"/>
      <c r="AU76" s="696"/>
      <c r="AV76" s="1088">
        <v>500</v>
      </c>
      <c r="AW76" s="696">
        <f t="shared" si="33"/>
        <v>500</v>
      </c>
      <c r="AX76" s="1088">
        <v>20.83</v>
      </c>
      <c r="AY76" s="1088">
        <f>44.82+2</f>
        <v>46.82</v>
      </c>
      <c r="AZ76" s="1088">
        <f t="shared" si="34"/>
        <v>479.17</v>
      </c>
      <c r="BA76" s="1103" t="s">
        <v>1217</v>
      </c>
      <c r="BB76" s="1103" t="s">
        <v>1218</v>
      </c>
      <c r="BC76" s="1103" t="s">
        <v>1209</v>
      </c>
    </row>
    <row r="77" spans="1:56" s="1091" customFormat="1" x14ac:dyDescent="0.2">
      <c r="A77" s="1113">
        <v>17</v>
      </c>
      <c r="B77" s="1114"/>
      <c r="C77" s="1101"/>
      <c r="D77" s="1104"/>
      <c r="E77" s="1103"/>
      <c r="F77" s="1103"/>
      <c r="G77" s="1104"/>
      <c r="H77" s="1104"/>
      <c r="I77" s="1112"/>
      <c r="J77" s="1104"/>
      <c r="K77" s="1103"/>
      <c r="L77" s="1103"/>
      <c r="M77" s="1104"/>
      <c r="N77" s="1104"/>
      <c r="O77" s="1106"/>
      <c r="P77" s="1104"/>
      <c r="Q77" s="1106"/>
      <c r="R77" s="1103"/>
      <c r="S77" s="1104"/>
      <c r="T77" s="1103"/>
      <c r="U77" s="1106"/>
      <c r="V77" s="1104"/>
      <c r="W77" s="1088"/>
      <c r="X77" s="1088"/>
      <c r="Y77" s="1088"/>
      <c r="Z77" s="1088"/>
      <c r="AA77" s="1089"/>
      <c r="AB77" s="1088"/>
      <c r="AC77" s="1090"/>
      <c r="AD77" s="1090"/>
      <c r="AE77" s="1090"/>
      <c r="AF77" s="1090"/>
      <c r="AG77" s="1090"/>
      <c r="AH77" s="1090"/>
      <c r="AI77" s="1088"/>
      <c r="AJ77" s="696"/>
      <c r="AK77" s="1088">
        <f t="shared" si="28"/>
        <v>0</v>
      </c>
      <c r="AL77" s="696"/>
      <c r="AM77" s="707"/>
      <c r="AN77" s="1088">
        <f t="shared" si="29"/>
        <v>0</v>
      </c>
      <c r="AO77" s="1089">
        <f t="shared" si="30"/>
        <v>0</v>
      </c>
      <c r="AP77" s="1088"/>
      <c r="AQ77" s="1088">
        <f t="shared" si="31"/>
        <v>0</v>
      </c>
      <c r="AR77" s="1088"/>
      <c r="AS77" s="1088"/>
      <c r="AT77" s="1088">
        <f t="shared" si="32"/>
        <v>0</v>
      </c>
      <c r="AU77" s="696">
        <f t="shared" si="14"/>
        <v>0</v>
      </c>
      <c r="AV77" s="1088"/>
      <c r="AW77" s="696">
        <f t="shared" si="33"/>
        <v>0</v>
      </c>
      <c r="AX77" s="1088"/>
      <c r="AY77" s="1088"/>
      <c r="AZ77" s="1088">
        <f t="shared" si="34"/>
        <v>0</v>
      </c>
      <c r="BA77" s="1103"/>
      <c r="BB77" s="1103"/>
      <c r="BC77" s="1103"/>
    </row>
    <row r="78" spans="1:56" s="1121" customFormat="1" ht="21.75" customHeight="1" x14ac:dyDescent="0.2">
      <c r="A78" s="1115"/>
      <c r="B78" s="1116" t="s">
        <v>862</v>
      </c>
      <c r="C78" s="1117"/>
      <c r="D78" s="1118"/>
      <c r="E78" s="1119"/>
      <c r="F78" s="1119"/>
      <c r="G78" s="1118"/>
      <c r="H78" s="1118"/>
      <c r="I78" s="1120"/>
      <c r="J78" s="1118">
        <f t="shared" ref="J78:V78" si="37">SUM(J61:J67)</f>
        <v>1399.95</v>
      </c>
      <c r="K78" s="1118">
        <f t="shared" si="37"/>
        <v>1399.95</v>
      </c>
      <c r="L78" s="1118">
        <f t="shared" si="37"/>
        <v>0</v>
      </c>
      <c r="M78" s="1118">
        <f t="shared" si="37"/>
        <v>1399.95</v>
      </c>
      <c r="N78" s="1118">
        <f t="shared" si="37"/>
        <v>0</v>
      </c>
      <c r="O78" s="1118">
        <f t="shared" si="37"/>
        <v>0</v>
      </c>
      <c r="P78" s="1118">
        <f t="shared" si="37"/>
        <v>1399.95</v>
      </c>
      <c r="Q78" s="1118">
        <f t="shared" si="37"/>
        <v>1399.95</v>
      </c>
      <c r="R78" s="1118">
        <f t="shared" si="37"/>
        <v>1598</v>
      </c>
      <c r="S78" s="1118">
        <f t="shared" si="37"/>
        <v>2997.95</v>
      </c>
      <c r="T78" s="1118">
        <f t="shared" si="37"/>
        <v>1389.06</v>
      </c>
      <c r="U78" s="1118">
        <f t="shared" si="37"/>
        <v>151.70000000000002</v>
      </c>
      <c r="V78" s="1118">
        <f t="shared" si="37"/>
        <v>1608.8899999999999</v>
      </c>
      <c r="W78" s="1092">
        <f t="shared" ref="W78:AB78" si="38">SUM(W61:W70)</f>
        <v>1608.8899999999999</v>
      </c>
      <c r="X78" s="1092">
        <f t="shared" si="38"/>
        <v>1850</v>
      </c>
      <c r="Y78" s="1092">
        <f t="shared" si="38"/>
        <v>3458.89</v>
      </c>
      <c r="Z78" s="1092">
        <f t="shared" si="38"/>
        <v>1744.55</v>
      </c>
      <c r="AA78" s="1092">
        <f t="shared" si="38"/>
        <v>123.89964529999999</v>
      </c>
      <c r="AB78" s="1092">
        <f t="shared" si="38"/>
        <v>1714.34</v>
      </c>
      <c r="AC78" s="1144">
        <f t="shared" ref="AC78:AH78" si="39">SUM(AC61:AC71)</f>
        <v>1714.34</v>
      </c>
      <c r="AD78" s="1144">
        <f t="shared" si="39"/>
        <v>4350</v>
      </c>
      <c r="AE78" s="1144">
        <f t="shared" si="39"/>
        <v>6064.34</v>
      </c>
      <c r="AF78" s="1144">
        <f>SUM(AF61:AF71)</f>
        <v>4789.32</v>
      </c>
      <c r="AG78" s="1144">
        <f t="shared" si="39"/>
        <v>135.91</v>
      </c>
      <c r="AH78" s="1144">
        <f t="shared" si="39"/>
        <v>1275.02</v>
      </c>
      <c r="AI78" s="1144">
        <f t="shared" ref="AI78:AZ78" si="40">SUM(AI61:AI77)</f>
        <v>1275.02</v>
      </c>
      <c r="AJ78" s="1144">
        <f t="shared" si="40"/>
        <v>6150</v>
      </c>
      <c r="AK78" s="1144">
        <f t="shared" si="40"/>
        <v>7425.02</v>
      </c>
      <c r="AL78" s="1144">
        <f t="shared" si="40"/>
        <v>4507.16</v>
      </c>
      <c r="AM78" s="1144">
        <f t="shared" si="40"/>
        <v>186.69</v>
      </c>
      <c r="AN78" s="1144">
        <f t="shared" si="40"/>
        <v>2917.8599999999997</v>
      </c>
      <c r="AO78" s="1144">
        <f t="shared" si="40"/>
        <v>2917.8599999999997</v>
      </c>
      <c r="AP78" s="1144">
        <f t="shared" si="40"/>
        <v>6760</v>
      </c>
      <c r="AQ78" s="1144">
        <f t="shared" si="40"/>
        <v>9677.86</v>
      </c>
      <c r="AR78" s="1144">
        <f t="shared" si="40"/>
        <v>6928.56</v>
      </c>
      <c r="AS78" s="1144">
        <f t="shared" si="40"/>
        <v>233.38</v>
      </c>
      <c r="AT78" s="1144">
        <f t="shared" si="40"/>
        <v>2749.2999999999997</v>
      </c>
      <c r="AU78" s="1144">
        <f t="shared" si="40"/>
        <v>2749.2999999999997</v>
      </c>
      <c r="AV78" s="1144">
        <f t="shared" si="40"/>
        <v>6720</v>
      </c>
      <c r="AW78" s="1144">
        <f t="shared" si="40"/>
        <v>9469.2999999999993</v>
      </c>
      <c r="AX78" s="1144">
        <f t="shared" si="40"/>
        <v>7006.79</v>
      </c>
      <c r="AY78" s="1144">
        <f t="shared" si="40"/>
        <v>237.96999999999997</v>
      </c>
      <c r="AZ78" s="1144">
        <f t="shared" si="40"/>
        <v>2462.5100000000002</v>
      </c>
      <c r="BA78" s="1119"/>
      <c r="BB78" s="1119"/>
      <c r="BC78" s="1119"/>
      <c r="BD78" s="1091"/>
    </row>
    <row r="79" spans="1:56" s="17" customFormat="1" x14ac:dyDescent="0.2">
      <c r="A79" s="417"/>
      <c r="B79" s="432" t="s">
        <v>856</v>
      </c>
      <c r="C79" s="243">
        <v>2.4899999999999999E-2</v>
      </c>
      <c r="D79" s="21">
        <v>856.25</v>
      </c>
      <c r="E79" s="238">
        <f>D79</f>
        <v>856.25</v>
      </c>
      <c r="F79" s="238">
        <f>184.17+103.47+54.84-54.91</f>
        <v>287.57000000000005</v>
      </c>
      <c r="G79" s="21">
        <f>E79+F79</f>
        <v>1143.8200000000002</v>
      </c>
      <c r="H79" s="238"/>
      <c r="I79" s="507">
        <v>71.819999999999993</v>
      </c>
      <c r="J79" s="21"/>
      <c r="K79" s="240"/>
      <c r="L79" s="238"/>
      <c r="M79" s="21"/>
      <c r="N79" s="238"/>
      <c r="O79" s="239"/>
      <c r="P79" s="21"/>
      <c r="Q79" s="239"/>
      <c r="R79" s="238"/>
      <c r="S79" s="21"/>
      <c r="T79" s="238"/>
      <c r="U79" s="239"/>
      <c r="V79" s="21"/>
      <c r="W79" s="696"/>
      <c r="X79" s="696"/>
      <c r="Y79" s="696"/>
      <c r="Z79" s="696"/>
      <c r="AA79" s="707"/>
      <c r="AB79" s="696">
        <f t="shared" si="36"/>
        <v>0</v>
      </c>
      <c r="AC79" s="1090">
        <v>0</v>
      </c>
      <c r="AD79" s="1090"/>
      <c r="AE79" s="1090">
        <f t="shared" si="25"/>
        <v>0</v>
      </c>
      <c r="AF79" s="1090"/>
      <c r="AG79" s="1090"/>
      <c r="AH79" s="1090"/>
      <c r="AI79" s="696"/>
      <c r="AJ79" s="696"/>
      <c r="AK79" s="696"/>
      <c r="AL79" s="696"/>
      <c r="AM79" s="696"/>
      <c r="AN79" s="696"/>
      <c r="AO79" s="696"/>
      <c r="AP79" s="696"/>
      <c r="AQ79" s="696">
        <f t="shared" ref="AQ79:AQ87" si="41">AO79+AP79</f>
        <v>0</v>
      </c>
      <c r="AR79" s="696"/>
      <c r="AS79" s="696"/>
      <c r="AT79" s="696"/>
      <c r="AU79" s="696">
        <f t="shared" si="14"/>
        <v>0</v>
      </c>
      <c r="AV79" s="696"/>
      <c r="AW79" s="696">
        <f t="shared" ref="AW79:AW87" si="42">AU79+AV79</f>
        <v>0</v>
      </c>
      <c r="AX79" s="696"/>
      <c r="AY79" s="696"/>
      <c r="AZ79" s="696"/>
      <c r="BA79" s="238"/>
      <c r="BB79" s="238"/>
      <c r="BC79" s="238"/>
      <c r="BD79" s="1091"/>
    </row>
    <row r="80" spans="1:56" s="17" customFormat="1" x14ac:dyDescent="0.2">
      <c r="A80" s="417">
        <v>1</v>
      </c>
      <c r="B80" s="431" t="s">
        <v>857</v>
      </c>
      <c r="C80" s="243"/>
      <c r="D80" s="493"/>
      <c r="E80" s="494"/>
      <c r="F80" s="494"/>
      <c r="G80" s="495"/>
      <c r="H80" s="494"/>
      <c r="I80" s="692"/>
      <c r="J80" s="21">
        <v>150.16</v>
      </c>
      <c r="K80" s="238">
        <f t="shared" ref="K80:K86" si="43">J80</f>
        <v>150.16</v>
      </c>
      <c r="L80" s="238"/>
      <c r="M80" s="21">
        <f t="shared" ref="M80:M86" si="44">K80+L80</f>
        <v>150.16</v>
      </c>
      <c r="N80" s="238"/>
      <c r="O80" s="239"/>
      <c r="P80" s="21">
        <f t="shared" ref="P80:P86" si="45">M80-N80</f>
        <v>150.16</v>
      </c>
      <c r="Q80" s="239">
        <f t="shared" ref="Q80:Q86" si="46">P80</f>
        <v>150.16</v>
      </c>
      <c r="R80" s="238"/>
      <c r="S80" s="21">
        <f t="shared" ref="S80:S86" si="47">Q80+R80</f>
        <v>150.16</v>
      </c>
      <c r="T80" s="238">
        <v>52.84</v>
      </c>
      <c r="U80" s="1941">
        <v>202.32</v>
      </c>
      <c r="V80" s="21">
        <f t="shared" ref="V80:V85" si="48">S80-T80</f>
        <v>97.32</v>
      </c>
      <c r="W80" s="696">
        <v>97.32</v>
      </c>
      <c r="X80" s="696">
        <v>102.25</v>
      </c>
      <c r="Y80" s="696">
        <f>W80+X80</f>
        <v>199.57</v>
      </c>
      <c r="Z80" s="696">
        <f>'[26]D-9'!F50</f>
        <v>0</v>
      </c>
      <c r="AA80" s="707">
        <v>10.459787499999999</v>
      </c>
      <c r="AB80" s="696">
        <f t="shared" si="36"/>
        <v>199.57</v>
      </c>
      <c r="AC80" s="1090">
        <v>199.57</v>
      </c>
      <c r="AD80" s="1090"/>
      <c r="AE80" s="1090">
        <f t="shared" si="25"/>
        <v>199.57</v>
      </c>
      <c r="AF80" s="1090">
        <v>10.01</v>
      </c>
      <c r="AG80" s="1098">
        <f>[24]D9!$G$53</f>
        <v>16.05</v>
      </c>
      <c r="AH80" s="1090">
        <f t="shared" ref="AH80:AH86" si="49">AE80-AF80</f>
        <v>189.56</v>
      </c>
      <c r="AI80" s="696">
        <f t="shared" ref="AI80:AI86" si="50">AH80</f>
        <v>189.56</v>
      </c>
      <c r="AJ80" s="696">
        <v>97.67</v>
      </c>
      <c r="AK80" s="696">
        <f t="shared" ref="AK80:AK86" si="51">AI80+AJ80</f>
        <v>287.23</v>
      </c>
      <c r="AL80" s="696"/>
      <c r="AM80" s="707">
        <v>38.4</v>
      </c>
      <c r="AN80" s="696">
        <f t="shared" ref="AN80:AN86" si="52">AK80-AL80</f>
        <v>287.23</v>
      </c>
      <c r="AO80" s="707">
        <f t="shared" ref="AO80:AO86" si="53">AN80</f>
        <v>287.23</v>
      </c>
      <c r="AP80" s="696"/>
      <c r="AQ80" s="696">
        <f t="shared" si="41"/>
        <v>287.23</v>
      </c>
      <c r="AR80" s="696"/>
      <c r="AS80" s="696">
        <f>48.98</f>
        <v>48.98</v>
      </c>
      <c r="AT80" s="696">
        <f t="shared" ref="AT80:AT87" si="54">AQ80-AR80</f>
        <v>287.23</v>
      </c>
      <c r="AU80" s="696">
        <f t="shared" ref="AU80:AU99" si="55">AT80</f>
        <v>287.23</v>
      </c>
      <c r="AV80" s="696"/>
      <c r="AW80" s="696">
        <f t="shared" si="42"/>
        <v>287.23</v>
      </c>
      <c r="AX80" s="696"/>
      <c r="AY80" s="696">
        <f>54.98+2</f>
        <v>56.98</v>
      </c>
      <c r="AZ80" s="696">
        <f t="shared" ref="AZ80:AZ87" si="56">AW80-AX80</f>
        <v>287.23</v>
      </c>
      <c r="BA80" s="238"/>
      <c r="BB80" s="1427">
        <v>8.6499999999999994E-2</v>
      </c>
      <c r="BC80" s="238" t="s">
        <v>1209</v>
      </c>
      <c r="BD80" s="1091"/>
    </row>
    <row r="81" spans="1:56" s="17" customFormat="1" x14ac:dyDescent="0.2">
      <c r="A81" s="417">
        <v>2</v>
      </c>
      <c r="B81" s="431" t="s">
        <v>858</v>
      </c>
      <c r="C81" s="243"/>
      <c r="D81" s="493"/>
      <c r="E81" s="494"/>
      <c r="F81" s="494"/>
      <c r="G81" s="495"/>
      <c r="H81" s="494"/>
      <c r="I81" s="692"/>
      <c r="J81" s="21">
        <v>404</v>
      </c>
      <c r="K81" s="238">
        <f t="shared" si="43"/>
        <v>404</v>
      </c>
      <c r="L81" s="238"/>
      <c r="M81" s="21">
        <f t="shared" si="44"/>
        <v>404</v>
      </c>
      <c r="N81" s="238"/>
      <c r="O81" s="239"/>
      <c r="P81" s="21">
        <f t="shared" si="45"/>
        <v>404</v>
      </c>
      <c r="Q81" s="239">
        <f t="shared" si="46"/>
        <v>404</v>
      </c>
      <c r="R81" s="238"/>
      <c r="S81" s="21">
        <f t="shared" si="47"/>
        <v>404</v>
      </c>
      <c r="T81" s="240">
        <v>7</v>
      </c>
      <c r="U81" s="1941"/>
      <c r="V81" s="21">
        <f t="shared" si="48"/>
        <v>397</v>
      </c>
      <c r="W81" s="696">
        <v>397</v>
      </c>
      <c r="X81" s="696">
        <f>'[26]D-9'!D51</f>
        <v>0</v>
      </c>
      <c r="Y81" s="696">
        <f t="shared" ref="Y81:Y86" si="57">W81+X81</f>
        <v>397</v>
      </c>
      <c r="Z81" s="696">
        <v>348.19</v>
      </c>
      <c r="AA81" s="707">
        <v>27.656827100000001</v>
      </c>
      <c r="AB81" s="696">
        <f t="shared" si="36"/>
        <v>48.81</v>
      </c>
      <c r="AC81" s="1090">
        <v>48.81</v>
      </c>
      <c r="AD81" s="1090">
        <v>541.89</v>
      </c>
      <c r="AE81" s="1090">
        <f t="shared" si="25"/>
        <v>590.70000000000005</v>
      </c>
      <c r="AF81" s="1090"/>
      <c r="AG81" s="1098">
        <f>[24]D9!$G$54</f>
        <v>25.23</v>
      </c>
      <c r="AH81" s="1090">
        <f t="shared" si="49"/>
        <v>590.70000000000005</v>
      </c>
      <c r="AI81" s="696">
        <f t="shared" si="50"/>
        <v>590.70000000000005</v>
      </c>
      <c r="AJ81" s="696"/>
      <c r="AK81" s="696">
        <f t="shared" si="51"/>
        <v>590.70000000000005</v>
      </c>
      <c r="AL81" s="696">
        <v>590.70000000000005</v>
      </c>
      <c r="AM81" s="707">
        <v>0</v>
      </c>
      <c r="AN81" s="696">
        <f t="shared" si="52"/>
        <v>0</v>
      </c>
      <c r="AO81" s="707">
        <f t="shared" si="53"/>
        <v>0</v>
      </c>
      <c r="AP81" s="696"/>
      <c r="AQ81" s="696">
        <f t="shared" si="41"/>
        <v>0</v>
      </c>
      <c r="AR81" s="696"/>
      <c r="AS81" s="696"/>
      <c r="AT81" s="696">
        <f t="shared" si="54"/>
        <v>0</v>
      </c>
      <c r="AU81" s="696">
        <f t="shared" si="55"/>
        <v>0</v>
      </c>
      <c r="AV81" s="696"/>
      <c r="AW81" s="696">
        <f t="shared" si="42"/>
        <v>0</v>
      </c>
      <c r="AX81" s="696"/>
      <c r="AY81" s="696"/>
      <c r="AZ81" s="696">
        <f t="shared" si="56"/>
        <v>0</v>
      </c>
      <c r="BA81" s="238"/>
      <c r="BB81" s="1427"/>
      <c r="BC81" s="238" t="s">
        <v>1209</v>
      </c>
      <c r="BD81" s="1091"/>
    </row>
    <row r="82" spans="1:56" s="17" customFormat="1" x14ac:dyDescent="0.2">
      <c r="A82" s="417">
        <v>3</v>
      </c>
      <c r="B82" s="431" t="s">
        <v>851</v>
      </c>
      <c r="C82" s="243"/>
      <c r="D82" s="493"/>
      <c r="E82" s="494"/>
      <c r="F82" s="494"/>
      <c r="G82" s="495"/>
      <c r="H82" s="494"/>
      <c r="I82" s="692"/>
      <c r="J82" s="21">
        <v>885.51</v>
      </c>
      <c r="K82" s="238">
        <f t="shared" si="43"/>
        <v>885.51</v>
      </c>
      <c r="L82" s="238"/>
      <c r="M82" s="21">
        <f t="shared" si="44"/>
        <v>885.51</v>
      </c>
      <c r="N82" s="238"/>
      <c r="O82" s="239"/>
      <c r="P82" s="21">
        <f t="shared" si="45"/>
        <v>885.51</v>
      </c>
      <c r="Q82" s="239">
        <f t="shared" si="46"/>
        <v>885.51</v>
      </c>
      <c r="R82" s="238"/>
      <c r="S82" s="21">
        <f t="shared" si="47"/>
        <v>885.51</v>
      </c>
      <c r="T82" s="238">
        <v>43.25</v>
      </c>
      <c r="U82" s="1941"/>
      <c r="V82" s="21">
        <f t="shared" si="48"/>
        <v>842.26</v>
      </c>
      <c r="W82" s="696">
        <v>842.26</v>
      </c>
      <c r="X82" s="696">
        <v>157.6</v>
      </c>
      <c r="Y82" s="696">
        <f t="shared" si="57"/>
        <v>999.86</v>
      </c>
      <c r="Z82" s="696">
        <f>'[26]D-9'!F52</f>
        <v>0</v>
      </c>
      <c r="AA82" s="707">
        <v>75.838641100000004</v>
      </c>
      <c r="AB82" s="696">
        <f t="shared" si="36"/>
        <v>999.86</v>
      </c>
      <c r="AC82" s="1090">
        <v>999.86</v>
      </c>
      <c r="AD82" s="1090"/>
      <c r="AE82" s="1090">
        <f t="shared" si="25"/>
        <v>999.86</v>
      </c>
      <c r="AF82" s="1090">
        <v>18.100000000000001</v>
      </c>
      <c r="AG82" s="1098">
        <f>[24]D9!$G$55</f>
        <v>80.31</v>
      </c>
      <c r="AH82" s="1090">
        <f t="shared" si="49"/>
        <v>981.76</v>
      </c>
      <c r="AI82" s="696">
        <f t="shared" si="50"/>
        <v>981.76</v>
      </c>
      <c r="AJ82" s="696">
        <v>14.45</v>
      </c>
      <c r="AK82" s="696">
        <f t="shared" si="51"/>
        <v>996.21</v>
      </c>
      <c r="AL82" s="696"/>
      <c r="AM82" s="707">
        <v>82.83</v>
      </c>
      <c r="AN82" s="696">
        <f t="shared" si="52"/>
        <v>996.21</v>
      </c>
      <c r="AO82" s="707">
        <f t="shared" si="53"/>
        <v>996.21</v>
      </c>
      <c r="AP82" s="696"/>
      <c r="AQ82" s="696">
        <f t="shared" si="41"/>
        <v>996.21</v>
      </c>
      <c r="AR82" s="696"/>
      <c r="AS82" s="696">
        <v>80.8</v>
      </c>
      <c r="AT82" s="696">
        <f t="shared" si="54"/>
        <v>996.21</v>
      </c>
      <c r="AU82" s="696">
        <f t="shared" si="55"/>
        <v>996.21</v>
      </c>
      <c r="AV82" s="696"/>
      <c r="AW82" s="696">
        <f t="shared" si="42"/>
        <v>996.21</v>
      </c>
      <c r="AX82" s="696"/>
      <c r="AY82" s="696">
        <f>90.53+3.5</f>
        <v>94.03</v>
      </c>
      <c r="AZ82" s="696">
        <f t="shared" si="56"/>
        <v>996.21</v>
      </c>
      <c r="BA82" s="238"/>
      <c r="BB82" s="1427">
        <v>8.3500000000000005E-2</v>
      </c>
      <c r="BC82" s="238" t="s">
        <v>1209</v>
      </c>
      <c r="BD82" s="1091"/>
    </row>
    <row r="83" spans="1:56" s="17" customFormat="1" x14ac:dyDescent="0.2">
      <c r="A83" s="417">
        <v>4</v>
      </c>
      <c r="B83" s="431" t="s">
        <v>852</v>
      </c>
      <c r="C83" s="243"/>
      <c r="D83" s="493"/>
      <c r="E83" s="494"/>
      <c r="F83" s="494"/>
      <c r="G83" s="495"/>
      <c r="H83" s="494"/>
      <c r="I83" s="692"/>
      <c r="J83" s="21">
        <v>264.74</v>
      </c>
      <c r="K83" s="238">
        <f t="shared" si="43"/>
        <v>264.74</v>
      </c>
      <c r="L83" s="238"/>
      <c r="M83" s="21">
        <f t="shared" si="44"/>
        <v>264.74</v>
      </c>
      <c r="N83" s="238"/>
      <c r="O83" s="239"/>
      <c r="P83" s="21">
        <f t="shared" si="45"/>
        <v>264.74</v>
      </c>
      <c r="Q83" s="239">
        <f t="shared" si="46"/>
        <v>264.74</v>
      </c>
      <c r="R83" s="238">
        <v>84.09</v>
      </c>
      <c r="S83" s="21">
        <f t="shared" si="47"/>
        <v>348.83000000000004</v>
      </c>
      <c r="T83" s="238">
        <v>0</v>
      </c>
      <c r="U83" s="1941"/>
      <c r="V83" s="21">
        <f t="shared" si="48"/>
        <v>348.83000000000004</v>
      </c>
      <c r="W83" s="696">
        <v>348.83000000000004</v>
      </c>
      <c r="X83" s="696">
        <f>'[26]D-9'!D53</f>
        <v>0</v>
      </c>
      <c r="Y83" s="696">
        <f t="shared" si="57"/>
        <v>348.83000000000004</v>
      </c>
      <c r="Z83" s="696">
        <v>22.5</v>
      </c>
      <c r="AA83" s="707">
        <v>29.040344300000001</v>
      </c>
      <c r="AB83" s="696">
        <f t="shared" si="36"/>
        <v>326.33000000000004</v>
      </c>
      <c r="AC83" s="1090">
        <v>326.33000000000004</v>
      </c>
      <c r="AD83" s="1090"/>
      <c r="AE83" s="1090">
        <f t="shared" si="25"/>
        <v>326.33000000000004</v>
      </c>
      <c r="AF83" s="1090">
        <v>1.41</v>
      </c>
      <c r="AG83" s="1098">
        <f>[24]D9!$G$56</f>
        <v>29.18</v>
      </c>
      <c r="AH83" s="1090">
        <f t="shared" si="49"/>
        <v>324.92</v>
      </c>
      <c r="AI83" s="696">
        <f t="shared" si="50"/>
        <v>324.92</v>
      </c>
      <c r="AJ83" s="696">
        <v>22.86</v>
      </c>
      <c r="AK83" s="696">
        <f t="shared" si="51"/>
        <v>347.78000000000003</v>
      </c>
      <c r="AL83" s="696"/>
      <c r="AM83" s="707">
        <v>48.69</v>
      </c>
      <c r="AN83" s="696">
        <f t="shared" si="52"/>
        <v>347.78000000000003</v>
      </c>
      <c r="AO83" s="707">
        <f t="shared" si="53"/>
        <v>347.78000000000003</v>
      </c>
      <c r="AP83" s="696"/>
      <c r="AQ83" s="696">
        <f t="shared" si="41"/>
        <v>347.78000000000003</v>
      </c>
      <c r="AR83" s="696">
        <v>207.78</v>
      </c>
      <c r="AS83" s="696">
        <v>29.32</v>
      </c>
      <c r="AT83" s="696">
        <f t="shared" si="54"/>
        <v>140.00000000000003</v>
      </c>
      <c r="AU83" s="696">
        <f t="shared" si="55"/>
        <v>140.00000000000003</v>
      </c>
      <c r="AV83" s="696"/>
      <c r="AW83" s="696">
        <f t="shared" si="42"/>
        <v>140.00000000000003</v>
      </c>
      <c r="AX83" s="696"/>
      <c r="AY83" s="696">
        <f>32.85+2</f>
        <v>34.85</v>
      </c>
      <c r="AZ83" s="696">
        <f t="shared" si="56"/>
        <v>140.00000000000003</v>
      </c>
      <c r="BA83" s="238"/>
      <c r="BB83" s="1427">
        <v>8.6499999999999994E-2</v>
      </c>
      <c r="BC83" s="238" t="s">
        <v>1209</v>
      </c>
      <c r="BD83" s="1091"/>
    </row>
    <row r="84" spans="1:56" s="17" customFormat="1" x14ac:dyDescent="0.2">
      <c r="A84" s="417">
        <v>5</v>
      </c>
      <c r="B84" s="431" t="s">
        <v>853</v>
      </c>
      <c r="C84" s="243"/>
      <c r="D84" s="493"/>
      <c r="E84" s="494"/>
      <c r="F84" s="494"/>
      <c r="G84" s="495"/>
      <c r="H84" s="494"/>
      <c r="I84" s="692"/>
      <c r="J84" s="21">
        <v>170.81</v>
      </c>
      <c r="K84" s="238">
        <f t="shared" si="43"/>
        <v>170.81</v>
      </c>
      <c r="L84" s="238"/>
      <c r="M84" s="21">
        <f t="shared" si="44"/>
        <v>170.81</v>
      </c>
      <c r="N84" s="238"/>
      <c r="O84" s="239"/>
      <c r="P84" s="21">
        <f t="shared" si="45"/>
        <v>170.81</v>
      </c>
      <c r="Q84" s="239">
        <f t="shared" si="46"/>
        <v>170.81</v>
      </c>
      <c r="R84" s="238">
        <v>180</v>
      </c>
      <c r="S84" s="21">
        <f t="shared" si="47"/>
        <v>350.81</v>
      </c>
      <c r="T84" s="238">
        <f>183.76+1.93</f>
        <v>185.69</v>
      </c>
      <c r="U84" s="1941"/>
      <c r="V84" s="21">
        <v>167.05</v>
      </c>
      <c r="W84" s="696">
        <v>167.05</v>
      </c>
      <c r="X84" s="696">
        <f>'[26]D-9'!D54</f>
        <v>0</v>
      </c>
      <c r="Y84" s="696">
        <f t="shared" si="57"/>
        <v>167.05</v>
      </c>
      <c r="Z84" s="696">
        <v>73.510000000000005</v>
      </c>
      <c r="AA84" s="707">
        <v>13.4824082</v>
      </c>
      <c r="AB84" s="696">
        <f t="shared" si="36"/>
        <v>93.54</v>
      </c>
      <c r="AC84" s="1090">
        <v>93.54</v>
      </c>
      <c r="AD84" s="1090">
        <v>83.24</v>
      </c>
      <c r="AE84" s="1090">
        <f t="shared" si="25"/>
        <v>176.78</v>
      </c>
      <c r="AF84" s="1090"/>
      <c r="AG84" s="1098">
        <f>[24]D9!$G$57</f>
        <v>12.08</v>
      </c>
      <c r="AH84" s="1090">
        <f t="shared" si="49"/>
        <v>176.78</v>
      </c>
      <c r="AI84" s="696">
        <f t="shared" si="50"/>
        <v>176.78</v>
      </c>
      <c r="AJ84" s="696">
        <v>22.07</v>
      </c>
      <c r="AK84" s="696">
        <f t="shared" si="51"/>
        <v>198.85</v>
      </c>
      <c r="AL84" s="696"/>
      <c r="AM84" s="707">
        <v>14.1</v>
      </c>
      <c r="AN84" s="696">
        <f t="shared" si="52"/>
        <v>198.85</v>
      </c>
      <c r="AO84" s="707">
        <f t="shared" si="53"/>
        <v>198.85</v>
      </c>
      <c r="AP84" s="696"/>
      <c r="AQ84" s="696">
        <f t="shared" si="41"/>
        <v>198.85</v>
      </c>
      <c r="AR84" s="696"/>
      <c r="AS84" s="696">
        <v>13.52</v>
      </c>
      <c r="AT84" s="696">
        <f t="shared" si="54"/>
        <v>198.85</v>
      </c>
      <c r="AU84" s="696">
        <f t="shared" si="55"/>
        <v>198.85</v>
      </c>
      <c r="AV84" s="696"/>
      <c r="AW84" s="696">
        <f t="shared" si="42"/>
        <v>198.85</v>
      </c>
      <c r="AX84" s="696"/>
      <c r="AY84" s="696">
        <v>15.149999999999999</v>
      </c>
      <c r="AZ84" s="696">
        <f t="shared" si="56"/>
        <v>198.85</v>
      </c>
      <c r="BA84" s="238"/>
      <c r="BB84" s="1427">
        <v>8.7999999999999995E-2</v>
      </c>
      <c r="BC84" s="238" t="s">
        <v>1209</v>
      </c>
      <c r="BD84" s="1091"/>
    </row>
    <row r="85" spans="1:56" s="17" customFormat="1" x14ac:dyDescent="0.2">
      <c r="A85" s="417">
        <v>6</v>
      </c>
      <c r="B85" s="431" t="s">
        <v>859</v>
      </c>
      <c r="C85" s="243"/>
      <c r="D85" s="493"/>
      <c r="E85" s="494"/>
      <c r="F85" s="494"/>
      <c r="G85" s="495"/>
      <c r="H85" s="494"/>
      <c r="I85" s="692"/>
      <c r="J85" s="21">
        <v>297.31</v>
      </c>
      <c r="K85" s="238">
        <f t="shared" si="43"/>
        <v>297.31</v>
      </c>
      <c r="L85" s="238"/>
      <c r="M85" s="21">
        <f t="shared" si="44"/>
        <v>297.31</v>
      </c>
      <c r="N85" s="238"/>
      <c r="O85" s="239"/>
      <c r="P85" s="21">
        <f t="shared" si="45"/>
        <v>297.31</v>
      </c>
      <c r="Q85" s="239">
        <f t="shared" si="46"/>
        <v>297.31</v>
      </c>
      <c r="R85" s="238"/>
      <c r="S85" s="21">
        <f t="shared" si="47"/>
        <v>297.31</v>
      </c>
      <c r="T85" s="238">
        <v>36.659999999999997</v>
      </c>
      <c r="U85" s="1941"/>
      <c r="V85" s="21">
        <f t="shared" si="48"/>
        <v>260.64999999999998</v>
      </c>
      <c r="W85" s="696">
        <v>260.64999999999998</v>
      </c>
      <c r="X85" s="696">
        <v>23.09</v>
      </c>
      <c r="Y85" s="696">
        <f t="shared" si="57"/>
        <v>283.73999999999995</v>
      </c>
      <c r="Z85" s="696">
        <f>'[26]D-9'!F55</f>
        <v>0</v>
      </c>
      <c r="AA85" s="707">
        <v>23.956341999999999</v>
      </c>
      <c r="AB85" s="696">
        <f t="shared" si="36"/>
        <v>283.73999999999995</v>
      </c>
      <c r="AC85" s="1090">
        <v>283.73999999999995</v>
      </c>
      <c r="AD85" s="1090">
        <v>93.44</v>
      </c>
      <c r="AE85" s="1090">
        <f t="shared" si="25"/>
        <v>377.17999999999995</v>
      </c>
      <c r="AF85" s="1090"/>
      <c r="AG85" s="1098">
        <f>[24]D9!$G$58</f>
        <v>24.36</v>
      </c>
      <c r="AH85" s="1090">
        <f t="shared" si="49"/>
        <v>377.17999999999995</v>
      </c>
      <c r="AI85" s="696">
        <f t="shared" si="50"/>
        <v>377.17999999999995</v>
      </c>
      <c r="AJ85" s="696"/>
      <c r="AK85" s="696">
        <f t="shared" si="51"/>
        <v>377.17999999999995</v>
      </c>
      <c r="AL85" s="696">
        <v>377.18</v>
      </c>
      <c r="AM85" s="707"/>
      <c r="AN85" s="696">
        <f t="shared" si="52"/>
        <v>0</v>
      </c>
      <c r="AO85" s="707">
        <f t="shared" si="53"/>
        <v>0</v>
      </c>
      <c r="AP85" s="696"/>
      <c r="AQ85" s="696">
        <f t="shared" si="41"/>
        <v>0</v>
      </c>
      <c r="AR85" s="696"/>
      <c r="AS85" s="696">
        <v>4.3600000000000003</v>
      </c>
      <c r="AT85" s="696">
        <f t="shared" si="54"/>
        <v>0</v>
      </c>
      <c r="AU85" s="696">
        <f t="shared" si="55"/>
        <v>0</v>
      </c>
      <c r="AV85" s="696"/>
      <c r="AW85" s="696">
        <f t="shared" si="42"/>
        <v>0</v>
      </c>
      <c r="AX85" s="696"/>
      <c r="AY85" s="696">
        <v>4.8840000000000003</v>
      </c>
      <c r="AZ85" s="696">
        <f t="shared" si="56"/>
        <v>0</v>
      </c>
      <c r="BA85" s="238"/>
      <c r="BB85" s="1427">
        <v>7.5999999999999998E-2</v>
      </c>
      <c r="BC85" s="238" t="s">
        <v>1209</v>
      </c>
      <c r="BD85" s="1091"/>
    </row>
    <row r="86" spans="1:56" s="17" customFormat="1" x14ac:dyDescent="0.2">
      <c r="A86" s="417">
        <v>7</v>
      </c>
      <c r="B86" s="431" t="s">
        <v>860</v>
      </c>
      <c r="C86" s="243"/>
      <c r="D86" s="493"/>
      <c r="E86" s="494"/>
      <c r="F86" s="494"/>
      <c r="G86" s="495"/>
      <c r="H86" s="494"/>
      <c r="I86" s="692"/>
      <c r="J86" s="21">
        <v>102.05</v>
      </c>
      <c r="K86" s="238">
        <f t="shared" si="43"/>
        <v>102.05</v>
      </c>
      <c r="L86" s="238"/>
      <c r="M86" s="21">
        <f t="shared" si="44"/>
        <v>102.05</v>
      </c>
      <c r="N86" s="238"/>
      <c r="O86" s="239"/>
      <c r="P86" s="21">
        <f t="shared" si="45"/>
        <v>102.05</v>
      </c>
      <c r="Q86" s="239">
        <f t="shared" si="46"/>
        <v>102.05</v>
      </c>
      <c r="R86" s="238">
        <v>144</v>
      </c>
      <c r="S86" s="21">
        <f t="shared" si="47"/>
        <v>246.05</v>
      </c>
      <c r="T86" s="238">
        <v>186.24</v>
      </c>
      <c r="U86" s="1941"/>
      <c r="V86" s="21">
        <v>59.79</v>
      </c>
      <c r="W86" s="696">
        <v>59.79</v>
      </c>
      <c r="X86" s="696">
        <v>38.74</v>
      </c>
      <c r="Y86" s="696">
        <f t="shared" si="57"/>
        <v>98.53</v>
      </c>
      <c r="Z86" s="696">
        <f>'[26]D-9'!F56</f>
        <v>0</v>
      </c>
      <c r="AA86" s="707">
        <v>7.1916340999999999</v>
      </c>
      <c r="AB86" s="696">
        <f t="shared" si="36"/>
        <v>98.53</v>
      </c>
      <c r="AC86" s="1090">
        <v>98.53</v>
      </c>
      <c r="AD86" s="1090"/>
      <c r="AE86" s="1090">
        <f t="shared" si="25"/>
        <v>98.53</v>
      </c>
      <c r="AF86" s="1090">
        <v>61.03</v>
      </c>
      <c r="AG86" s="1098">
        <f>[24]D9!$G$59</f>
        <v>7.5</v>
      </c>
      <c r="AH86" s="1090">
        <f t="shared" si="49"/>
        <v>37.5</v>
      </c>
      <c r="AI86" s="696">
        <f t="shared" si="50"/>
        <v>37.5</v>
      </c>
      <c r="AJ86" s="696">
        <v>50.58</v>
      </c>
      <c r="AK86" s="696">
        <f t="shared" si="51"/>
        <v>88.08</v>
      </c>
      <c r="AL86" s="696"/>
      <c r="AM86" s="707">
        <v>9.5399999999999991</v>
      </c>
      <c r="AN86" s="696">
        <f t="shared" si="52"/>
        <v>88.08</v>
      </c>
      <c r="AO86" s="707">
        <f t="shared" si="53"/>
        <v>88.08</v>
      </c>
      <c r="AP86" s="696"/>
      <c r="AQ86" s="696">
        <f t="shared" si="41"/>
        <v>88.08</v>
      </c>
      <c r="AR86" s="696"/>
      <c r="AS86" s="696">
        <v>3.8</v>
      </c>
      <c r="AT86" s="696">
        <f t="shared" si="54"/>
        <v>88.08</v>
      </c>
      <c r="AU86" s="696">
        <f t="shared" si="55"/>
        <v>88.08</v>
      </c>
      <c r="AV86" s="696"/>
      <c r="AW86" s="696">
        <f t="shared" si="42"/>
        <v>88.08</v>
      </c>
      <c r="AX86" s="696"/>
      <c r="AY86" s="696">
        <v>4.1899999999999995</v>
      </c>
      <c r="AZ86" s="696">
        <f t="shared" si="56"/>
        <v>88.08</v>
      </c>
      <c r="BA86" s="238"/>
      <c r="BB86" s="1427">
        <v>7.5999999999999998E-2</v>
      </c>
      <c r="BC86" s="238" t="s">
        <v>1209</v>
      </c>
      <c r="BD86" s="1091"/>
    </row>
    <row r="87" spans="1:56" s="17" customFormat="1" x14ac:dyDescent="0.2">
      <c r="A87" s="417">
        <v>8</v>
      </c>
      <c r="B87" s="431" t="s">
        <v>872</v>
      </c>
      <c r="C87" s="243"/>
      <c r="D87" s="493"/>
      <c r="E87" s="494"/>
      <c r="F87" s="494"/>
      <c r="G87" s="495"/>
      <c r="H87" s="494"/>
      <c r="I87" s="692"/>
      <c r="J87" s="21"/>
      <c r="K87" s="238"/>
      <c r="L87" s="238"/>
      <c r="M87" s="21"/>
      <c r="N87" s="238"/>
      <c r="O87" s="239"/>
      <c r="P87" s="21"/>
      <c r="Q87" s="239"/>
      <c r="R87" s="238"/>
      <c r="S87" s="21"/>
      <c r="T87" s="238"/>
      <c r="U87" s="1349"/>
      <c r="V87" s="21"/>
      <c r="W87" s="696"/>
      <c r="X87" s="696"/>
      <c r="Y87" s="696"/>
      <c r="Z87" s="696"/>
      <c r="AA87" s="707"/>
      <c r="AB87" s="696"/>
      <c r="AC87" s="1090"/>
      <c r="AD87" s="1090"/>
      <c r="AE87" s="1090"/>
      <c r="AF87" s="1090"/>
      <c r="AG87" s="1098"/>
      <c r="AH87" s="1090"/>
      <c r="AI87" s="696"/>
      <c r="AJ87" s="696"/>
      <c r="AK87" s="696"/>
      <c r="AL87" s="696"/>
      <c r="AM87" s="707"/>
      <c r="AN87" s="696"/>
      <c r="AO87" s="707"/>
      <c r="AP87" s="696">
        <v>10</v>
      </c>
      <c r="AQ87" s="696">
        <f t="shared" si="41"/>
        <v>10</v>
      </c>
      <c r="AR87" s="696"/>
      <c r="AS87" s="696">
        <v>0.25</v>
      </c>
      <c r="AT87" s="696">
        <f t="shared" si="54"/>
        <v>10</v>
      </c>
      <c r="AU87" s="696">
        <f t="shared" si="55"/>
        <v>10</v>
      </c>
      <c r="AV87" s="696"/>
      <c r="AW87" s="696">
        <f t="shared" si="42"/>
        <v>10</v>
      </c>
      <c r="AX87" s="696"/>
      <c r="AY87" s="696">
        <v>0.76</v>
      </c>
      <c r="AZ87" s="696">
        <f t="shared" si="56"/>
        <v>10</v>
      </c>
      <c r="BA87" s="238"/>
      <c r="BB87" s="1427">
        <v>7.5999999999999998E-2</v>
      </c>
      <c r="BC87" s="238" t="s">
        <v>1209</v>
      </c>
      <c r="BD87" s="1091"/>
    </row>
    <row r="88" spans="1:56" s="22" customFormat="1" ht="13.5" thickBot="1" x14ac:dyDescent="0.25">
      <c r="A88" s="418"/>
      <c r="B88" s="432" t="s">
        <v>861</v>
      </c>
      <c r="C88" s="419"/>
      <c r="D88" s="420">
        <f t="shared" ref="D88:I88" si="58">D60+D79</f>
        <v>1606.25</v>
      </c>
      <c r="E88" s="421">
        <f t="shared" si="58"/>
        <v>1606.25</v>
      </c>
      <c r="F88" s="421">
        <f t="shared" si="58"/>
        <v>412.55000000000007</v>
      </c>
      <c r="G88" s="421">
        <f t="shared" si="58"/>
        <v>2018.8000000000002</v>
      </c>
      <c r="H88" s="421">
        <f t="shared" si="58"/>
        <v>0</v>
      </c>
      <c r="I88" s="693">
        <f t="shared" si="58"/>
        <v>170.29</v>
      </c>
      <c r="J88" s="496">
        <f>SUM(J80:J86)</f>
        <v>2274.5800000000004</v>
      </c>
      <c r="K88" s="496">
        <f t="shared" ref="K88:W88" si="59">SUM(K80:K86)</f>
        <v>2274.5800000000004</v>
      </c>
      <c r="L88" s="496">
        <f t="shared" si="59"/>
        <v>0</v>
      </c>
      <c r="M88" s="496">
        <f t="shared" si="59"/>
        <v>2274.5800000000004</v>
      </c>
      <c r="N88" s="496">
        <f t="shared" si="59"/>
        <v>0</v>
      </c>
      <c r="O88" s="496">
        <f t="shared" si="59"/>
        <v>0</v>
      </c>
      <c r="P88" s="496">
        <f t="shared" si="59"/>
        <v>2274.5800000000004</v>
      </c>
      <c r="Q88" s="496">
        <f t="shared" si="59"/>
        <v>2274.5800000000004</v>
      </c>
      <c r="R88" s="496">
        <f t="shared" si="59"/>
        <v>408.09000000000003</v>
      </c>
      <c r="S88" s="496">
        <f t="shared" si="59"/>
        <v>2682.67</v>
      </c>
      <c r="T88" s="496">
        <f t="shared" si="59"/>
        <v>511.67999999999995</v>
      </c>
      <c r="U88" s="496">
        <f t="shared" si="59"/>
        <v>202.32</v>
      </c>
      <c r="V88" s="496">
        <f t="shared" si="59"/>
        <v>2172.8999999999996</v>
      </c>
      <c r="W88" s="927">
        <f t="shared" si="59"/>
        <v>2172.8999999999996</v>
      </c>
      <c r="X88" s="927">
        <f t="shared" ref="X88:AR88" si="60">SUM(X80:X86)</f>
        <v>321.68</v>
      </c>
      <c r="Y88" s="927">
        <f t="shared" si="60"/>
        <v>2494.58</v>
      </c>
      <c r="Z88" s="927">
        <f t="shared" si="60"/>
        <v>444.2</v>
      </c>
      <c r="AA88" s="927">
        <f t="shared" si="60"/>
        <v>187.62598430000003</v>
      </c>
      <c r="AB88" s="927">
        <f t="shared" si="60"/>
        <v>2050.38</v>
      </c>
      <c r="AC88" s="1093">
        <f t="shared" si="60"/>
        <v>2050.38</v>
      </c>
      <c r="AD88" s="1093">
        <f t="shared" si="60"/>
        <v>718.56999999999994</v>
      </c>
      <c r="AE88" s="1093">
        <f t="shared" si="25"/>
        <v>2768.95</v>
      </c>
      <c r="AF88" s="1093">
        <f t="shared" si="60"/>
        <v>90.55</v>
      </c>
      <c r="AG88" s="1093">
        <f t="shared" si="60"/>
        <v>194.71000000000004</v>
      </c>
      <c r="AH88" s="1093">
        <f t="shared" si="60"/>
        <v>2678.4</v>
      </c>
      <c r="AI88" s="927">
        <f t="shared" si="60"/>
        <v>2678.4</v>
      </c>
      <c r="AJ88" s="927">
        <f t="shared" si="60"/>
        <v>207.63</v>
      </c>
      <c r="AK88" s="927">
        <f t="shared" si="60"/>
        <v>2886.0299999999997</v>
      </c>
      <c r="AL88" s="927">
        <f t="shared" si="60"/>
        <v>967.88000000000011</v>
      </c>
      <c r="AM88" s="927">
        <f t="shared" si="60"/>
        <v>193.55999999999997</v>
      </c>
      <c r="AN88" s="927">
        <f t="shared" si="60"/>
        <v>1918.1499999999999</v>
      </c>
      <c r="AO88" s="927">
        <f t="shared" si="60"/>
        <v>1918.1499999999999</v>
      </c>
      <c r="AP88" s="927">
        <f>SUM(AP80:AP87)</f>
        <v>10</v>
      </c>
      <c r="AQ88" s="927">
        <f>SUM(AQ80:AQ87)</f>
        <v>1928.1499999999999</v>
      </c>
      <c r="AR88" s="927">
        <f t="shared" si="60"/>
        <v>207.78</v>
      </c>
      <c r="AS88" s="927">
        <f>SUM(AS80:AS87)</f>
        <v>181.03000000000003</v>
      </c>
      <c r="AT88" s="927">
        <f>SUM(AT80:AT87)</f>
        <v>1720.37</v>
      </c>
      <c r="AU88" s="927">
        <f>SUM(AU80:AU87)</f>
        <v>1720.37</v>
      </c>
      <c r="AV88" s="927">
        <f>SUM(AV80:AV87)</f>
        <v>0</v>
      </c>
      <c r="AW88" s="927">
        <f>SUM(AW80:AW87)</f>
        <v>1720.37</v>
      </c>
      <c r="AX88" s="927">
        <f>SUM(AX80:AX86)</f>
        <v>0</v>
      </c>
      <c r="AY88" s="838">
        <f>SUM(AY80:AY87)</f>
        <v>210.84399999999999</v>
      </c>
      <c r="AZ88" s="927">
        <f>SUM(AZ80:AZ87)</f>
        <v>1720.37</v>
      </c>
      <c r="BA88" s="934"/>
      <c r="BB88" s="240"/>
      <c r="BC88" s="934"/>
      <c r="BD88" s="1091"/>
    </row>
    <row r="89" spans="1:56" s="514" customFormat="1" ht="13.5" thickBot="1" x14ac:dyDescent="0.25">
      <c r="A89" s="508"/>
      <c r="B89" s="509" t="s">
        <v>774</v>
      </c>
      <c r="C89" s="512">
        <v>6.0499999999999998E-2</v>
      </c>
      <c r="D89" s="510">
        <f t="shared" ref="D89:I89" si="61">D59+D88</f>
        <v>1667.65</v>
      </c>
      <c r="E89" s="511">
        <f t="shared" si="61"/>
        <v>1667.65</v>
      </c>
      <c r="F89" s="511">
        <f t="shared" si="61"/>
        <v>697.07</v>
      </c>
      <c r="G89" s="511">
        <f t="shared" si="61"/>
        <v>2364.7200000000003</v>
      </c>
      <c r="H89" s="511">
        <f t="shared" si="61"/>
        <v>19.670000000000002</v>
      </c>
      <c r="I89" s="694">
        <f t="shared" si="61"/>
        <v>201.69</v>
      </c>
      <c r="J89" s="513">
        <f>J88+J78</f>
        <v>3674.5300000000007</v>
      </c>
      <c r="K89" s="513">
        <f t="shared" ref="K89:W89" si="62">K88+K78</f>
        <v>3674.5300000000007</v>
      </c>
      <c r="L89" s="513">
        <f t="shared" si="62"/>
        <v>0</v>
      </c>
      <c r="M89" s="513">
        <f t="shared" si="62"/>
        <v>3674.5300000000007</v>
      </c>
      <c r="N89" s="513">
        <f t="shared" si="62"/>
        <v>0</v>
      </c>
      <c r="O89" s="513">
        <f t="shared" si="62"/>
        <v>0</v>
      </c>
      <c r="P89" s="513">
        <f t="shared" si="62"/>
        <v>3674.5300000000007</v>
      </c>
      <c r="Q89" s="513">
        <f t="shared" si="62"/>
        <v>3674.5300000000007</v>
      </c>
      <c r="R89" s="513">
        <f t="shared" si="62"/>
        <v>2006.0900000000001</v>
      </c>
      <c r="S89" s="513">
        <f t="shared" si="62"/>
        <v>5680.62</v>
      </c>
      <c r="T89" s="513">
        <f t="shared" si="62"/>
        <v>1900.7399999999998</v>
      </c>
      <c r="U89" s="513">
        <f t="shared" si="62"/>
        <v>354.02</v>
      </c>
      <c r="V89" s="513">
        <f t="shared" si="62"/>
        <v>3781.7899999999995</v>
      </c>
      <c r="W89" s="927">
        <f t="shared" si="62"/>
        <v>3781.7899999999995</v>
      </c>
      <c r="X89" s="927">
        <f>X88+X78</f>
        <v>2171.6799999999998</v>
      </c>
      <c r="Y89" s="927">
        <f>Y88+Y78</f>
        <v>5953.4699999999993</v>
      </c>
      <c r="Z89" s="927">
        <f>Z88+Z78</f>
        <v>2188.75</v>
      </c>
      <c r="AA89" s="838">
        <v>311.5256296</v>
      </c>
      <c r="AB89" s="927">
        <f>AB88+AB78</f>
        <v>3764.7200000000003</v>
      </c>
      <c r="AC89" s="1093">
        <f>AC88+AC78</f>
        <v>3764.7200000000003</v>
      </c>
      <c r="AD89" s="1093">
        <f>AD88+AD78</f>
        <v>5068.57</v>
      </c>
      <c r="AE89" s="1093">
        <f>AE88+AE78</f>
        <v>8833.2900000000009</v>
      </c>
      <c r="AF89" s="1093">
        <f>AF88+AF78</f>
        <v>4879.87</v>
      </c>
      <c r="AG89" s="1093">
        <f t="shared" ref="AG89:AT89" si="63">AG88+AG78</f>
        <v>330.62</v>
      </c>
      <c r="AH89" s="1093">
        <f t="shared" si="63"/>
        <v>3953.42</v>
      </c>
      <c r="AI89" s="1047">
        <f t="shared" si="63"/>
        <v>3953.42</v>
      </c>
      <c r="AJ89" s="1047">
        <f t="shared" si="63"/>
        <v>6357.63</v>
      </c>
      <c r="AK89" s="1047">
        <f t="shared" si="63"/>
        <v>10311.049999999999</v>
      </c>
      <c r="AL89" s="1047">
        <f t="shared" si="63"/>
        <v>5475.04</v>
      </c>
      <c r="AM89" s="1430">
        <f t="shared" si="63"/>
        <v>380.25</v>
      </c>
      <c r="AN89" s="1047">
        <f t="shared" si="63"/>
        <v>4836.0099999999993</v>
      </c>
      <c r="AO89" s="1047">
        <f t="shared" si="63"/>
        <v>4836.0099999999993</v>
      </c>
      <c r="AP89" s="1047">
        <f t="shared" si="63"/>
        <v>6770</v>
      </c>
      <c r="AQ89" s="1047">
        <f t="shared" si="63"/>
        <v>11606.01</v>
      </c>
      <c r="AR89" s="1047">
        <f t="shared" si="63"/>
        <v>7136.34</v>
      </c>
      <c r="AS89" s="1047">
        <f t="shared" si="63"/>
        <v>414.41</v>
      </c>
      <c r="AT89" s="1047">
        <f t="shared" si="63"/>
        <v>4469.67</v>
      </c>
      <c r="AU89" s="1047">
        <f t="shared" ref="AU89:AZ89" si="64">AU88+AU78</f>
        <v>4469.67</v>
      </c>
      <c r="AV89" s="1047">
        <f t="shared" si="64"/>
        <v>6720</v>
      </c>
      <c r="AW89" s="1047">
        <f t="shared" si="64"/>
        <v>11189.669999999998</v>
      </c>
      <c r="AX89" s="1047">
        <f t="shared" si="64"/>
        <v>7006.79</v>
      </c>
      <c r="AY89" s="1430">
        <f t="shared" si="64"/>
        <v>448.81399999999996</v>
      </c>
      <c r="AZ89" s="1047">
        <f t="shared" si="64"/>
        <v>4182.88</v>
      </c>
      <c r="BA89" s="1149"/>
      <c r="BB89" s="1149"/>
      <c r="BC89" s="1149"/>
      <c r="BD89" s="1091"/>
    </row>
    <row r="90" spans="1:56" s="17" customFormat="1" x14ac:dyDescent="0.2">
      <c r="A90" s="196"/>
      <c r="B90" s="195"/>
      <c r="C90" s="245"/>
      <c r="D90" s="191"/>
      <c r="E90" s="352"/>
      <c r="F90" s="238"/>
      <c r="G90" s="21">
        <f t="shared" ref="G90:G99" si="65">E90+F90</f>
        <v>0</v>
      </c>
      <c r="H90" s="238"/>
      <c r="I90" s="695"/>
      <c r="J90" s="238"/>
      <c r="K90" s="238">
        <f t="shared" ref="K90:K99" si="66">J90</f>
        <v>0</v>
      </c>
      <c r="L90" s="238"/>
      <c r="M90" s="21">
        <f t="shared" ref="M90:M99" si="67">K90+L90</f>
        <v>0</v>
      </c>
      <c r="N90" s="238"/>
      <c r="O90" s="240"/>
      <c r="P90" s="238"/>
      <c r="Q90" s="238"/>
      <c r="R90" s="238"/>
      <c r="S90" s="238"/>
      <c r="T90" s="238"/>
      <c r="U90" s="238"/>
      <c r="V90" s="238"/>
      <c r="W90" s="696"/>
      <c r="X90" s="696"/>
      <c r="Y90" s="696"/>
      <c r="Z90" s="696"/>
      <c r="AA90" s="696"/>
      <c r="AB90" s="696"/>
      <c r="AC90" s="1090"/>
      <c r="AD90" s="1090"/>
      <c r="AE90" s="1090"/>
      <c r="AF90" s="1090"/>
      <c r="AG90" s="1090"/>
      <c r="AH90" s="1090"/>
      <c r="AI90" s="696"/>
      <c r="AJ90" s="1141"/>
      <c r="AK90" s="1141">
        <f t="shared" ref="AK90:AK99" si="68">AI90+AJ90</f>
        <v>0</v>
      </c>
      <c r="AL90" s="1141"/>
      <c r="AM90" s="1141"/>
      <c r="AN90" s="1141">
        <f t="shared" ref="AN90:AN99" si="69">AK90-AL90</f>
        <v>0</v>
      </c>
      <c r="AO90" s="1141">
        <f>AN90</f>
        <v>0</v>
      </c>
      <c r="AP90" s="1141"/>
      <c r="AQ90" s="1141"/>
      <c r="AR90" s="1141"/>
      <c r="AS90" s="1141"/>
      <c r="AT90" s="1141"/>
      <c r="AU90" s="1141">
        <f t="shared" si="55"/>
        <v>0</v>
      </c>
      <c r="AV90" s="1141"/>
      <c r="AW90" s="1141"/>
      <c r="AX90" s="1141"/>
      <c r="AY90" s="1141"/>
      <c r="AZ90" s="1141"/>
      <c r="BA90" s="238"/>
      <c r="BB90" s="238"/>
      <c r="BC90" s="238"/>
    </row>
    <row r="91" spans="1:56" s="1091" customFormat="1" x14ac:dyDescent="0.2">
      <c r="A91" s="1099"/>
      <c r="B91" s="1122" t="s">
        <v>524</v>
      </c>
      <c r="C91" s="1123"/>
      <c r="D91" s="1124"/>
      <c r="E91" s="1125"/>
      <c r="F91" s="1103"/>
      <c r="G91" s="1104"/>
      <c r="H91" s="1103"/>
      <c r="I91" s="1126"/>
      <c r="J91" s="1103"/>
      <c r="K91" s="1103">
        <f t="shared" si="66"/>
        <v>0</v>
      </c>
      <c r="L91" s="1103"/>
      <c r="M91" s="1104">
        <f t="shared" si="67"/>
        <v>0</v>
      </c>
      <c r="N91" s="1103"/>
      <c r="O91" s="1106"/>
      <c r="P91" s="1103"/>
      <c r="Q91" s="1103">
        <f t="shared" ref="Q91:Q98" si="70">P91</f>
        <v>0</v>
      </c>
      <c r="R91" s="1103"/>
      <c r="S91" s="1103"/>
      <c r="T91" s="1103"/>
      <c r="U91" s="1103"/>
      <c r="V91" s="1103"/>
      <c r="W91" s="1088">
        <f t="shared" ref="W91:W98" si="71">V91</f>
        <v>0</v>
      </c>
      <c r="X91" s="1088">
        <f t="shared" ref="X91:AB98" si="72">W91</f>
        <v>0</v>
      </c>
      <c r="Y91" s="1088">
        <f t="shared" si="72"/>
        <v>0</v>
      </c>
      <c r="Z91" s="1088">
        <f t="shared" si="72"/>
        <v>0</v>
      </c>
      <c r="AA91" s="1088">
        <f t="shared" si="72"/>
        <v>0</v>
      </c>
      <c r="AB91" s="1088">
        <f t="shared" si="72"/>
        <v>0</v>
      </c>
      <c r="AC91" s="1090"/>
      <c r="AD91" s="1090"/>
      <c r="AE91" s="1090"/>
      <c r="AF91" s="1090"/>
      <c r="AG91" s="1090"/>
      <c r="AH91" s="1090"/>
      <c r="AI91" s="696"/>
      <c r="AJ91" s="1141"/>
      <c r="AK91" s="1141">
        <f t="shared" si="68"/>
        <v>0</v>
      </c>
      <c r="AL91" s="1141"/>
      <c r="AM91" s="1141"/>
      <c r="AN91" s="1141">
        <f t="shared" si="69"/>
        <v>0</v>
      </c>
      <c r="AO91" s="1141">
        <f t="shared" ref="AO91:AO98" si="73">AN91</f>
        <v>0</v>
      </c>
      <c r="AP91" s="1141"/>
      <c r="AQ91" s="1141"/>
      <c r="AR91" s="1141"/>
      <c r="AS91" s="1141"/>
      <c r="AT91" s="1141"/>
      <c r="AU91" s="1141">
        <f t="shared" si="55"/>
        <v>0</v>
      </c>
      <c r="AV91" s="1141"/>
      <c r="AW91" s="1141"/>
      <c r="AX91" s="1141"/>
      <c r="AY91" s="1141"/>
      <c r="AZ91" s="1141"/>
      <c r="BA91" s="1103"/>
      <c r="BB91" s="1103"/>
      <c r="BC91" s="1103"/>
    </row>
    <row r="92" spans="1:56" s="17" customFormat="1" x14ac:dyDescent="0.2">
      <c r="A92" s="18">
        <v>7</v>
      </c>
      <c r="B92" s="189" t="s">
        <v>524</v>
      </c>
      <c r="C92" s="244"/>
      <c r="D92" s="191"/>
      <c r="E92" s="352"/>
      <c r="F92" s="239"/>
      <c r="G92" s="21"/>
      <c r="H92" s="238"/>
      <c r="I92" s="414"/>
      <c r="J92" s="238"/>
      <c r="K92" s="238">
        <f t="shared" si="66"/>
        <v>0</v>
      </c>
      <c r="L92" s="238"/>
      <c r="M92" s="21">
        <f t="shared" si="67"/>
        <v>0</v>
      </c>
      <c r="N92" s="238"/>
      <c r="O92" s="238"/>
      <c r="P92" s="238"/>
      <c r="Q92" s="238">
        <f t="shared" si="70"/>
        <v>0</v>
      </c>
      <c r="R92" s="238"/>
      <c r="S92" s="238"/>
      <c r="T92" s="238"/>
      <c r="U92" s="239"/>
      <c r="V92" s="238"/>
      <c r="W92" s="696">
        <f t="shared" si="71"/>
        <v>0</v>
      </c>
      <c r="X92" s="696">
        <f t="shared" si="72"/>
        <v>0</v>
      </c>
      <c r="Y92" s="696">
        <f t="shared" si="72"/>
        <v>0</v>
      </c>
      <c r="Z92" s="696">
        <f t="shared" si="72"/>
        <v>0</v>
      </c>
      <c r="AA92" s="696">
        <f t="shared" si="72"/>
        <v>0</v>
      </c>
      <c r="AB92" s="696">
        <f t="shared" si="72"/>
        <v>0</v>
      </c>
      <c r="AC92" s="1090"/>
      <c r="AD92" s="1090"/>
      <c r="AE92" s="1090"/>
      <c r="AF92" s="1090"/>
      <c r="AG92" s="1090"/>
      <c r="AH92" s="1090">
        <f t="shared" ref="AH92:AH98" si="74">AE92-AF92</f>
        <v>0</v>
      </c>
      <c r="AI92" s="696">
        <f>AH92</f>
        <v>0</v>
      </c>
      <c r="AJ92" s="1141"/>
      <c r="AK92" s="1141">
        <f t="shared" si="68"/>
        <v>0</v>
      </c>
      <c r="AL92" s="1141"/>
      <c r="AM92" s="1141"/>
      <c r="AN92" s="1141">
        <f t="shared" si="69"/>
        <v>0</v>
      </c>
      <c r="AO92" s="1141">
        <f t="shared" si="73"/>
        <v>0</v>
      </c>
      <c r="AP92" s="1141"/>
      <c r="AQ92" s="1141"/>
      <c r="AR92" s="1141"/>
      <c r="AS92" s="1141"/>
      <c r="AT92" s="1141"/>
      <c r="AU92" s="1141">
        <f t="shared" si="55"/>
        <v>0</v>
      </c>
      <c r="AV92" s="1141"/>
      <c r="AW92" s="1141"/>
      <c r="AX92" s="1141"/>
      <c r="AY92" s="1141"/>
      <c r="AZ92" s="1141"/>
      <c r="BA92" s="238"/>
      <c r="BB92" s="238"/>
      <c r="BC92" s="238"/>
    </row>
    <row r="93" spans="1:56" s="17" customFormat="1" x14ac:dyDescent="0.2">
      <c r="A93" s="18"/>
      <c r="B93" s="190" t="s">
        <v>468</v>
      </c>
      <c r="C93" s="244"/>
      <c r="D93" s="191"/>
      <c r="E93" s="352"/>
      <c r="F93" s="238"/>
      <c r="G93" s="21">
        <f t="shared" si="65"/>
        <v>0</v>
      </c>
      <c r="H93" s="238"/>
      <c r="I93" s="507">
        <v>9.77</v>
      </c>
      <c r="J93" s="238"/>
      <c r="K93" s="238">
        <f t="shared" si="66"/>
        <v>0</v>
      </c>
      <c r="L93" s="238"/>
      <c r="M93" s="21">
        <f t="shared" si="67"/>
        <v>0</v>
      </c>
      <c r="N93" s="238"/>
      <c r="O93" s="239">
        <f>('[20]Notes to P&amp; L'!$E$227+'[20]Notes to P&amp; L'!$E$229)/10^7</f>
        <v>13.797004182999999</v>
      </c>
      <c r="P93" s="238"/>
      <c r="Q93" s="238">
        <f t="shared" si="70"/>
        <v>0</v>
      </c>
      <c r="R93" s="238"/>
      <c r="S93" s="238"/>
      <c r="T93" s="238"/>
      <c r="U93" s="238">
        <f>11.63+0.8</f>
        <v>12.430000000000001</v>
      </c>
      <c r="V93" s="238"/>
      <c r="W93" s="696">
        <f t="shared" si="71"/>
        <v>0</v>
      </c>
      <c r="X93" s="696">
        <f t="shared" si="72"/>
        <v>0</v>
      </c>
      <c r="Y93" s="696">
        <f t="shared" si="72"/>
        <v>0</v>
      </c>
      <c r="Z93" s="696">
        <f t="shared" si="72"/>
        <v>0</v>
      </c>
      <c r="AA93" s="696">
        <f>[4]Sheet2!$C$254-AA94</f>
        <v>20.540000000000003</v>
      </c>
      <c r="AB93" s="696"/>
      <c r="AC93" s="1090"/>
      <c r="AD93" s="1090"/>
      <c r="AE93" s="1090">
        <f t="shared" ref="AE93:AE99" si="75">AC93+AD93</f>
        <v>0</v>
      </c>
      <c r="AF93" s="1090"/>
      <c r="AG93" s="1097">
        <f>'[3]chapter-3'!$D$136</f>
        <v>11.523999999999999</v>
      </c>
      <c r="AH93" s="1090">
        <f t="shared" si="74"/>
        <v>0</v>
      </c>
      <c r="AI93" s="696">
        <f t="shared" ref="AI93:AI98" si="76">AH93</f>
        <v>0</v>
      </c>
      <c r="AJ93" s="1141"/>
      <c r="AK93" s="1141">
        <f t="shared" si="68"/>
        <v>0</v>
      </c>
      <c r="AL93" s="1141"/>
      <c r="AM93" s="1142">
        <f>'[31]chapter-3'!$D$161</f>
        <v>22.294361567000003</v>
      </c>
      <c r="AN93" s="1141">
        <f t="shared" si="69"/>
        <v>0</v>
      </c>
      <c r="AO93" s="1141">
        <f t="shared" si="73"/>
        <v>0</v>
      </c>
      <c r="AP93" s="1141"/>
      <c r="AQ93" s="1141">
        <f t="shared" ref="AQ93:AQ98" si="77">AO93+AP93</f>
        <v>0</v>
      </c>
      <c r="AR93" s="1141"/>
      <c r="AS93" s="1428">
        <f>'[31]chapter-4'!$B$100</f>
        <v>22</v>
      </c>
      <c r="AT93" s="1141">
        <f t="shared" ref="AT93:AT98" si="78">AQ93-AR93</f>
        <v>0</v>
      </c>
      <c r="AU93" s="1141">
        <f t="shared" si="55"/>
        <v>0</v>
      </c>
      <c r="AV93" s="1141"/>
      <c r="AW93" s="1141"/>
      <c r="AX93" s="1141"/>
      <c r="AY93" s="1142">
        <f>'[31]chapter-4'!$C$100</f>
        <v>22</v>
      </c>
      <c r="AZ93" s="1141">
        <f t="shared" ref="AZ93:AZ98" si="79">AW93-AX93</f>
        <v>0</v>
      </c>
      <c r="BA93" s="238"/>
      <c r="BB93" s="238"/>
      <c r="BC93" s="238"/>
    </row>
    <row r="94" spans="1:56" s="17" customFormat="1" x14ac:dyDescent="0.2">
      <c r="A94" s="18"/>
      <c r="B94" s="190" t="s">
        <v>466</v>
      </c>
      <c r="C94" s="244"/>
      <c r="D94" s="191"/>
      <c r="E94" s="352"/>
      <c r="F94" s="238"/>
      <c r="G94" s="21">
        <f t="shared" si="65"/>
        <v>0</v>
      </c>
      <c r="H94" s="238"/>
      <c r="I94" s="507">
        <f>0.41</f>
        <v>0.41</v>
      </c>
      <c r="J94" s="238"/>
      <c r="K94" s="238">
        <f t="shared" si="66"/>
        <v>0</v>
      </c>
      <c r="L94" s="238"/>
      <c r="M94" s="21">
        <f t="shared" si="67"/>
        <v>0</v>
      </c>
      <c r="N94" s="238"/>
      <c r="O94" s="239">
        <f>'[20]Notes to P&amp; L'!$F$247/10^7</f>
        <v>9.7273077000000008</v>
      </c>
      <c r="P94" s="238"/>
      <c r="Q94" s="238">
        <f t="shared" si="70"/>
        <v>0</v>
      </c>
      <c r="R94" s="238"/>
      <c r="S94" s="238"/>
      <c r="T94" s="238"/>
      <c r="U94" s="240">
        <v>1.9</v>
      </c>
      <c r="V94" s="238"/>
      <c r="W94" s="696">
        <f t="shared" si="71"/>
        <v>0</v>
      </c>
      <c r="X94" s="696">
        <f t="shared" si="72"/>
        <v>0</v>
      </c>
      <c r="Y94" s="696">
        <f t="shared" si="72"/>
        <v>0</v>
      </c>
      <c r="Z94" s="696">
        <f t="shared" si="72"/>
        <v>0</v>
      </c>
      <c r="AA94" s="696">
        <f>[4]Sheet2!$C$251</f>
        <v>1.98</v>
      </c>
      <c r="AB94" s="696"/>
      <c r="AC94" s="1090"/>
      <c r="AD94" s="1090"/>
      <c r="AE94" s="1090">
        <f t="shared" si="75"/>
        <v>0</v>
      </c>
      <c r="AF94" s="1090"/>
      <c r="AG94" s="1090"/>
      <c r="AH94" s="1090">
        <f t="shared" si="74"/>
        <v>0</v>
      </c>
      <c r="AI94" s="696">
        <f t="shared" si="76"/>
        <v>0</v>
      </c>
      <c r="AJ94" s="1141"/>
      <c r="AK94" s="1141">
        <f t="shared" si="68"/>
        <v>0</v>
      </c>
      <c r="AL94" s="1141"/>
      <c r="AM94" s="1141"/>
      <c r="AN94" s="1141">
        <f t="shared" si="69"/>
        <v>0</v>
      </c>
      <c r="AO94" s="1141">
        <f t="shared" si="73"/>
        <v>0</v>
      </c>
      <c r="AP94" s="1141"/>
      <c r="AQ94" s="1141">
        <f t="shared" si="77"/>
        <v>0</v>
      </c>
      <c r="AR94" s="1141"/>
      <c r="AS94" s="1429"/>
      <c r="AT94" s="1141">
        <f t="shared" si="78"/>
        <v>0</v>
      </c>
      <c r="AU94" s="1141">
        <f t="shared" si="55"/>
        <v>0</v>
      </c>
      <c r="AV94" s="1141"/>
      <c r="AW94" s="1141"/>
      <c r="AX94" s="1141"/>
      <c r="AY94" s="1141"/>
      <c r="AZ94" s="1141">
        <f t="shared" si="79"/>
        <v>0</v>
      </c>
      <c r="BA94" s="238"/>
      <c r="BB94" s="238"/>
      <c r="BC94" s="238"/>
    </row>
    <row r="95" spans="1:56" s="17" customFormat="1" ht="15.75" customHeight="1" x14ac:dyDescent="0.2">
      <c r="A95" s="18"/>
      <c r="B95" s="190" t="s">
        <v>535</v>
      </c>
      <c r="C95" s="244"/>
      <c r="D95" s="191"/>
      <c r="E95" s="352"/>
      <c r="F95" s="238"/>
      <c r="G95" s="21">
        <f t="shared" si="65"/>
        <v>0</v>
      </c>
      <c r="H95" s="238"/>
      <c r="I95" s="414">
        <v>3.08</v>
      </c>
      <c r="J95" s="238"/>
      <c r="K95" s="238">
        <f t="shared" si="66"/>
        <v>0</v>
      </c>
      <c r="L95" s="238"/>
      <c r="M95" s="21">
        <f t="shared" si="67"/>
        <v>0</v>
      </c>
      <c r="N95" s="238"/>
      <c r="O95" s="238"/>
      <c r="P95" s="238"/>
      <c r="Q95" s="238">
        <f t="shared" si="70"/>
        <v>0</v>
      </c>
      <c r="R95" s="238"/>
      <c r="S95" s="238"/>
      <c r="T95" s="238"/>
      <c r="U95" s="238"/>
      <c r="V95" s="238"/>
      <c r="W95" s="696">
        <f t="shared" si="71"/>
        <v>0</v>
      </c>
      <c r="X95" s="696">
        <f t="shared" si="72"/>
        <v>0</v>
      </c>
      <c r="Y95" s="696">
        <f t="shared" si="72"/>
        <v>0</v>
      </c>
      <c r="Z95" s="696">
        <f t="shared" si="72"/>
        <v>0</v>
      </c>
      <c r="AA95" s="696">
        <f t="shared" si="72"/>
        <v>0</v>
      </c>
      <c r="AB95" s="696"/>
      <c r="AC95" s="1090"/>
      <c r="AD95" s="1090"/>
      <c r="AE95" s="1090">
        <f t="shared" si="75"/>
        <v>0</v>
      </c>
      <c r="AF95" s="1090"/>
      <c r="AG95" s="1090"/>
      <c r="AH95" s="1090">
        <f t="shared" si="74"/>
        <v>0</v>
      </c>
      <c r="AI95" s="696">
        <f t="shared" si="76"/>
        <v>0</v>
      </c>
      <c r="AJ95" s="1141"/>
      <c r="AK95" s="1141">
        <f t="shared" si="68"/>
        <v>0</v>
      </c>
      <c r="AL95" s="1141"/>
      <c r="AM95" s="1141"/>
      <c r="AN95" s="1141">
        <f t="shared" si="69"/>
        <v>0</v>
      </c>
      <c r="AO95" s="1141">
        <f t="shared" si="73"/>
        <v>0</v>
      </c>
      <c r="AP95" s="1141"/>
      <c r="AQ95" s="1141">
        <f t="shared" si="77"/>
        <v>0</v>
      </c>
      <c r="AR95" s="1141"/>
      <c r="AS95" s="1429"/>
      <c r="AT95" s="1141">
        <f t="shared" si="78"/>
        <v>0</v>
      </c>
      <c r="AU95" s="1141">
        <f t="shared" si="55"/>
        <v>0</v>
      </c>
      <c r="AV95" s="1141"/>
      <c r="AW95" s="1141"/>
      <c r="AX95" s="1141"/>
      <c r="AY95" s="1141"/>
      <c r="AZ95" s="1141">
        <f t="shared" si="79"/>
        <v>0</v>
      </c>
      <c r="BA95" s="238"/>
      <c r="BB95" s="238"/>
      <c r="BC95" s="238"/>
    </row>
    <row r="96" spans="1:56" s="17" customFormat="1" ht="15.75" customHeight="1" x14ac:dyDescent="0.2">
      <c r="A96" s="18"/>
      <c r="B96" s="190" t="s">
        <v>467</v>
      </c>
      <c r="C96" s="244"/>
      <c r="D96" s="191"/>
      <c r="E96" s="352"/>
      <c r="F96" s="238"/>
      <c r="G96" s="21">
        <f>E96+F96</f>
        <v>0</v>
      </c>
      <c r="H96" s="238"/>
      <c r="I96" s="695">
        <v>179.79</v>
      </c>
      <c r="J96" s="238"/>
      <c r="K96" s="238">
        <f t="shared" si="66"/>
        <v>0</v>
      </c>
      <c r="L96" s="238"/>
      <c r="M96" s="21">
        <f t="shared" si="67"/>
        <v>0</v>
      </c>
      <c r="N96" s="238"/>
      <c r="O96" s="240">
        <f>'[20]Notes to P&amp; L'!$E$228/10^7</f>
        <v>245.23913602600001</v>
      </c>
      <c r="P96" s="238"/>
      <c r="Q96" s="238">
        <f t="shared" si="70"/>
        <v>0</v>
      </c>
      <c r="R96" s="238"/>
      <c r="S96" s="238"/>
      <c r="T96" s="238"/>
      <c r="U96" s="238">
        <v>244.17</v>
      </c>
      <c r="V96" s="238"/>
      <c r="W96" s="696">
        <f t="shared" si="71"/>
        <v>0</v>
      </c>
      <c r="X96" s="696">
        <f t="shared" si="72"/>
        <v>0</v>
      </c>
      <c r="Y96" s="696">
        <f t="shared" si="72"/>
        <v>0</v>
      </c>
      <c r="Z96" s="696">
        <f t="shared" si="72"/>
        <v>0</v>
      </c>
      <c r="AA96" s="707">
        <f>[4]Sheet2!$D$245</f>
        <v>231</v>
      </c>
      <c r="AB96" s="696"/>
      <c r="AC96" s="1090"/>
      <c r="AD96" s="1090"/>
      <c r="AE96" s="1090">
        <f t="shared" si="75"/>
        <v>0</v>
      </c>
      <c r="AF96" s="1090"/>
      <c r="AG96" s="1097">
        <f>'[3]chapter-3'!$D$135</f>
        <v>210.56</v>
      </c>
      <c r="AH96" s="1090">
        <f t="shared" si="74"/>
        <v>0</v>
      </c>
      <c r="AI96" s="696">
        <f t="shared" si="76"/>
        <v>0</v>
      </c>
      <c r="AJ96" s="1141"/>
      <c r="AK96" s="1141">
        <f t="shared" si="68"/>
        <v>0</v>
      </c>
      <c r="AL96" s="1141"/>
      <c r="AM96" s="1142">
        <f>'[31]chapter-3'!$D$160</f>
        <v>238.86524854499999</v>
      </c>
      <c r="AN96" s="1141">
        <f t="shared" si="69"/>
        <v>0</v>
      </c>
      <c r="AO96" s="1141">
        <f t="shared" si="73"/>
        <v>0</v>
      </c>
      <c r="AP96" s="1141"/>
      <c r="AQ96" s="1141">
        <f t="shared" si="77"/>
        <v>0</v>
      </c>
      <c r="AR96" s="1141"/>
      <c r="AS96" s="1428">
        <f>'[31]chapter-4'!$B$99</f>
        <v>255.34925762598596</v>
      </c>
      <c r="AT96" s="1141">
        <f t="shared" si="78"/>
        <v>0</v>
      </c>
      <c r="AU96" s="1141">
        <f t="shared" si="55"/>
        <v>0</v>
      </c>
      <c r="AV96" s="1141"/>
      <c r="AW96" s="1141"/>
      <c r="AX96" s="1141"/>
      <c r="AY96" s="1142">
        <f>'[31]chapter-4'!$C$99</f>
        <v>272.44925762598598</v>
      </c>
      <c r="AZ96" s="1141">
        <f t="shared" si="79"/>
        <v>0</v>
      </c>
      <c r="BA96" s="238"/>
      <c r="BB96" s="238"/>
      <c r="BC96" s="238"/>
    </row>
    <row r="97" spans="1:55" s="17" customFormat="1" ht="15.75" customHeight="1" x14ac:dyDescent="0.2">
      <c r="A97" s="18"/>
      <c r="B97" s="190" t="s">
        <v>456</v>
      </c>
      <c r="C97" s="244"/>
      <c r="D97" s="191"/>
      <c r="E97" s="352"/>
      <c r="F97" s="238"/>
      <c r="G97" s="21">
        <f t="shared" si="65"/>
        <v>0</v>
      </c>
      <c r="H97" s="238"/>
      <c r="I97" s="695"/>
      <c r="J97" s="238"/>
      <c r="K97" s="238">
        <f t="shared" si="66"/>
        <v>0</v>
      </c>
      <c r="L97" s="238"/>
      <c r="M97" s="21">
        <f t="shared" si="67"/>
        <v>0</v>
      </c>
      <c r="N97" s="238"/>
      <c r="O97" s="240"/>
      <c r="P97" s="238"/>
      <c r="Q97" s="238">
        <f t="shared" si="70"/>
        <v>0</v>
      </c>
      <c r="R97" s="238"/>
      <c r="S97" s="238"/>
      <c r="T97" s="238"/>
      <c r="U97" s="238">
        <v>-1.88</v>
      </c>
      <c r="V97" s="238"/>
      <c r="W97" s="696">
        <f t="shared" si="71"/>
        <v>0</v>
      </c>
      <c r="X97" s="696">
        <f t="shared" si="72"/>
        <v>0</v>
      </c>
      <c r="Y97" s="696">
        <f t="shared" si="72"/>
        <v>0</v>
      </c>
      <c r="Z97" s="696">
        <f t="shared" si="72"/>
        <v>0</v>
      </c>
      <c r="AA97" s="696">
        <v>40.49</v>
      </c>
      <c r="AB97" s="696"/>
      <c r="AC97" s="1090"/>
      <c r="AD97" s="1090"/>
      <c r="AE97" s="1090">
        <f t="shared" si="75"/>
        <v>0</v>
      </c>
      <c r="AF97" s="1090"/>
      <c r="AG97" s="1097">
        <f>'[3]chapter-3'!$E$102/2</f>
        <v>35.794740464982254</v>
      </c>
      <c r="AH97" s="1090">
        <f t="shared" si="74"/>
        <v>0</v>
      </c>
      <c r="AI97" s="696">
        <f t="shared" si="76"/>
        <v>0</v>
      </c>
      <c r="AJ97" s="1141"/>
      <c r="AK97" s="1141">
        <f t="shared" si="68"/>
        <v>0</v>
      </c>
      <c r="AL97" s="1141"/>
      <c r="AM97" s="1142">
        <f>'[31]chapter-3'!$D$128-'[31]chapter-3'!$D$126</f>
        <v>39.001999520931122</v>
      </c>
      <c r="AN97" s="1141">
        <f t="shared" si="69"/>
        <v>0</v>
      </c>
      <c r="AO97" s="1141">
        <f t="shared" si="73"/>
        <v>0</v>
      </c>
      <c r="AP97" s="1141"/>
      <c r="AQ97" s="1141">
        <f t="shared" si="77"/>
        <v>0</v>
      </c>
      <c r="AR97" s="1141"/>
      <c r="AS97" s="1424"/>
      <c r="AT97" s="1141">
        <f t="shared" si="78"/>
        <v>0</v>
      </c>
      <c r="AU97" s="1141">
        <f t="shared" si="55"/>
        <v>0</v>
      </c>
      <c r="AV97" s="1141"/>
      <c r="AW97" s="1141"/>
      <c r="AX97" s="1141"/>
      <c r="AY97" s="1141"/>
      <c r="AZ97" s="1141">
        <f t="shared" si="79"/>
        <v>0</v>
      </c>
      <c r="BA97" s="238"/>
      <c r="BB97" s="238"/>
      <c r="BC97" s="238"/>
    </row>
    <row r="98" spans="1:55" s="17" customFormat="1" ht="13.5" thickBot="1" x14ac:dyDescent="0.25">
      <c r="A98" s="18"/>
      <c r="B98" s="191"/>
      <c r="C98" s="246"/>
      <c r="D98" s="257"/>
      <c r="E98" s="353"/>
      <c r="F98" s="241"/>
      <c r="G98" s="193">
        <f t="shared" si="65"/>
        <v>0</v>
      </c>
      <c r="H98" s="241"/>
      <c r="I98" s="416"/>
      <c r="J98" s="238"/>
      <c r="K98" s="238">
        <f t="shared" si="66"/>
        <v>0</v>
      </c>
      <c r="L98" s="238"/>
      <c r="M98" s="21">
        <f t="shared" si="67"/>
        <v>0</v>
      </c>
      <c r="N98" s="238"/>
      <c r="O98" s="238"/>
      <c r="P98" s="238"/>
      <c r="Q98" s="238">
        <f t="shared" si="70"/>
        <v>0</v>
      </c>
      <c r="R98" s="238"/>
      <c r="S98" s="238"/>
      <c r="T98" s="238"/>
      <c r="U98" s="238"/>
      <c r="V98" s="238"/>
      <c r="W98" s="696">
        <f t="shared" si="71"/>
        <v>0</v>
      </c>
      <c r="X98" s="696">
        <f t="shared" si="72"/>
        <v>0</v>
      </c>
      <c r="Y98" s="696">
        <f t="shared" si="72"/>
        <v>0</v>
      </c>
      <c r="Z98" s="696">
        <f t="shared" si="72"/>
        <v>0</v>
      </c>
      <c r="AA98" s="696">
        <f t="shared" si="72"/>
        <v>0</v>
      </c>
      <c r="AB98" s="696"/>
      <c r="AC98" s="1090"/>
      <c r="AD98" s="1090"/>
      <c r="AE98" s="1090">
        <f t="shared" si="75"/>
        <v>0</v>
      </c>
      <c r="AF98" s="1090"/>
      <c r="AG98" s="1090">
        <f>AF98</f>
        <v>0</v>
      </c>
      <c r="AH98" s="1090">
        <f t="shared" si="74"/>
        <v>0</v>
      </c>
      <c r="AI98" s="696">
        <f t="shared" si="76"/>
        <v>0</v>
      </c>
      <c r="AJ98" s="1141"/>
      <c r="AK98" s="1141">
        <f t="shared" si="68"/>
        <v>0</v>
      </c>
      <c r="AL98" s="1141"/>
      <c r="AM98" s="1141"/>
      <c r="AN98" s="1141">
        <f t="shared" si="69"/>
        <v>0</v>
      </c>
      <c r="AO98" s="1141">
        <f t="shared" si="73"/>
        <v>0</v>
      </c>
      <c r="AP98" s="1141"/>
      <c r="AQ98" s="1141">
        <f t="shared" si="77"/>
        <v>0</v>
      </c>
      <c r="AR98" s="1141"/>
      <c r="AS98" s="1141"/>
      <c r="AT98" s="1141">
        <f t="shared" si="78"/>
        <v>0</v>
      </c>
      <c r="AU98" s="1141">
        <f t="shared" si="55"/>
        <v>0</v>
      </c>
      <c r="AV98" s="1141"/>
      <c r="AW98" s="1141"/>
      <c r="AX98" s="1141"/>
      <c r="AY98" s="1141"/>
      <c r="AZ98" s="1141">
        <f t="shared" si="79"/>
        <v>0</v>
      </c>
      <c r="BA98" s="238"/>
      <c r="BB98" s="238"/>
      <c r="BC98" s="238"/>
    </row>
    <row r="99" spans="1:55" s="22" customFormat="1" ht="13.5" thickBot="1" x14ac:dyDescent="0.25">
      <c r="A99" s="197"/>
      <c r="B99" s="194" t="s">
        <v>79</v>
      </c>
      <c r="C99" s="247"/>
      <c r="D99" s="930"/>
      <c r="E99" s="931">
        <f>D99</f>
        <v>0</v>
      </c>
      <c r="F99" s="932"/>
      <c r="G99" s="933">
        <f t="shared" si="65"/>
        <v>0</v>
      </c>
      <c r="H99" s="932"/>
      <c r="I99" s="247">
        <f>SUM(I93:I98)</f>
        <v>193.04999999999998</v>
      </c>
      <c r="J99" s="934"/>
      <c r="K99" s="934">
        <f t="shared" si="66"/>
        <v>0</v>
      </c>
      <c r="L99" s="934"/>
      <c r="M99" s="496">
        <f t="shared" si="67"/>
        <v>0</v>
      </c>
      <c r="N99" s="934"/>
      <c r="O99" s="496">
        <f>SUM(O93:O98)</f>
        <v>268.76344790900004</v>
      </c>
      <c r="P99" s="934"/>
      <c r="Q99" s="934">
        <f>P99</f>
        <v>0</v>
      </c>
      <c r="R99" s="934"/>
      <c r="S99" s="934"/>
      <c r="T99" s="934"/>
      <c r="U99" s="496">
        <f>SUM(U93:U98)</f>
        <v>256.62</v>
      </c>
      <c r="V99" s="934"/>
      <c r="W99" s="927">
        <f>V99</f>
        <v>0</v>
      </c>
      <c r="X99" s="927">
        <f>W99</f>
        <v>0</v>
      </c>
      <c r="Y99" s="927">
        <f>X99</f>
        <v>0</v>
      </c>
      <c r="Z99" s="927">
        <f>Y99</f>
        <v>0</v>
      </c>
      <c r="AA99" s="838">
        <f>AA93+AA94+AA96+AA97</f>
        <v>294.01</v>
      </c>
      <c r="AB99" s="927"/>
      <c r="AC99" s="1093"/>
      <c r="AD99" s="1093"/>
      <c r="AE99" s="1093">
        <f t="shared" si="75"/>
        <v>0</v>
      </c>
      <c r="AF99" s="1093"/>
      <c r="AG99" s="1094">
        <f>AG93+AG94+AG96+AG97</f>
        <v>257.87874046498223</v>
      </c>
      <c r="AH99" s="1094">
        <f t="shared" ref="AH99:AT99" si="80">AH93+AH94+AH96+AH97</f>
        <v>0</v>
      </c>
      <c r="AI99" s="838">
        <f t="shared" si="80"/>
        <v>0</v>
      </c>
      <c r="AJ99" s="1143">
        <f t="shared" si="80"/>
        <v>0</v>
      </c>
      <c r="AK99" s="1141">
        <f t="shared" si="68"/>
        <v>0</v>
      </c>
      <c r="AL99" s="1143"/>
      <c r="AM99" s="1143">
        <f t="shared" si="80"/>
        <v>300.16160963293112</v>
      </c>
      <c r="AN99" s="1141">
        <f t="shared" si="69"/>
        <v>0</v>
      </c>
      <c r="AO99" s="1143">
        <f t="shared" si="80"/>
        <v>0</v>
      </c>
      <c r="AP99" s="1143">
        <f t="shared" si="80"/>
        <v>0</v>
      </c>
      <c r="AQ99" s="1143">
        <f t="shared" si="80"/>
        <v>0</v>
      </c>
      <c r="AR99" s="1143">
        <f t="shared" si="80"/>
        <v>0</v>
      </c>
      <c r="AS99" s="1143">
        <f t="shared" si="80"/>
        <v>277.34925762598596</v>
      </c>
      <c r="AT99" s="1143">
        <f t="shared" si="80"/>
        <v>0</v>
      </c>
      <c r="AU99" s="1141">
        <f t="shared" si="55"/>
        <v>0</v>
      </c>
      <c r="AV99" s="1143"/>
      <c r="AW99" s="1143"/>
      <c r="AX99" s="1143"/>
      <c r="AY99" s="1143">
        <f>AY93+AY94+AY96+AY97</f>
        <v>294.44925762598598</v>
      </c>
      <c r="AZ99" s="1143">
        <f>AZ93+AZ94+AZ96+AZ97</f>
        <v>0</v>
      </c>
      <c r="BA99" s="934"/>
      <c r="BB99" s="934"/>
      <c r="BC99" s="934"/>
    </row>
    <row r="100" spans="1:55" s="1137" customFormat="1" ht="16.5" thickBot="1" x14ac:dyDescent="0.3">
      <c r="A100" s="1127"/>
      <c r="B100" s="1128" t="s">
        <v>92</v>
      </c>
      <c r="C100" s="1129"/>
      <c r="D100" s="1130">
        <f t="shared" ref="D100:I100" si="81">D89+D99</f>
        <v>1667.65</v>
      </c>
      <c r="E100" s="1129">
        <f t="shared" si="81"/>
        <v>1667.65</v>
      </c>
      <c r="F100" s="1129">
        <f t="shared" si="81"/>
        <v>697.07</v>
      </c>
      <c r="G100" s="1129">
        <f t="shared" si="81"/>
        <v>2364.7200000000003</v>
      </c>
      <c r="H100" s="1129">
        <f t="shared" si="81"/>
        <v>19.670000000000002</v>
      </c>
      <c r="I100" s="1131">
        <f t="shared" si="81"/>
        <v>394.74</v>
      </c>
      <c r="J100" s="1132">
        <f t="shared" ref="J100:AA100" si="82">J59+J78+J88+J99</f>
        <v>6616.41</v>
      </c>
      <c r="K100" s="1132">
        <f t="shared" si="82"/>
        <v>6616.41</v>
      </c>
      <c r="L100" s="1132">
        <f t="shared" si="82"/>
        <v>200.24</v>
      </c>
      <c r="M100" s="1132">
        <f t="shared" si="82"/>
        <v>6616.41</v>
      </c>
      <c r="N100" s="1132">
        <f t="shared" si="82"/>
        <v>0</v>
      </c>
      <c r="O100" s="1132">
        <f t="shared" si="82"/>
        <v>317.41344790900001</v>
      </c>
      <c r="P100" s="1132">
        <f t="shared" si="82"/>
        <v>6816.65</v>
      </c>
      <c r="Q100" s="1132">
        <f t="shared" si="82"/>
        <v>6816.65</v>
      </c>
      <c r="R100" s="1132">
        <f t="shared" si="82"/>
        <v>3093.54</v>
      </c>
      <c r="S100" s="1132">
        <f t="shared" si="82"/>
        <v>9910.1899999999987</v>
      </c>
      <c r="T100" s="1132">
        <f t="shared" si="82"/>
        <v>2155.2999999999997</v>
      </c>
      <c r="U100" s="1132">
        <f t="shared" si="82"/>
        <v>930.63</v>
      </c>
      <c r="V100" s="1132">
        <f t="shared" si="82"/>
        <v>7556.5599999999995</v>
      </c>
      <c r="W100" s="1133">
        <f t="shared" si="82"/>
        <v>7556.5599999999995</v>
      </c>
      <c r="X100" s="1133">
        <f t="shared" si="82"/>
        <v>2690.69</v>
      </c>
      <c r="Y100" s="1133">
        <f t="shared" si="82"/>
        <v>10247.25</v>
      </c>
      <c r="Z100" s="1133">
        <f t="shared" si="82"/>
        <v>2509.5699999999997</v>
      </c>
      <c r="AA100" s="1134">
        <f t="shared" si="82"/>
        <v>948.80844149999984</v>
      </c>
      <c r="AB100" s="1133">
        <f>AB59+AB89</f>
        <v>7737.68</v>
      </c>
      <c r="AC100" s="1135">
        <f>AC59+AC89</f>
        <v>7517.7880000000005</v>
      </c>
      <c r="AD100" s="1135">
        <f>AD59+AD89</f>
        <v>6224.44</v>
      </c>
      <c r="AE100" s="1135">
        <f>AE59+AE89</f>
        <v>13742.228000000001</v>
      </c>
      <c r="AF100" s="1135">
        <f>AF59+AF89</f>
        <v>5428.4343675999999</v>
      </c>
      <c r="AG100" s="1136">
        <f>AG59+AG89+AG99</f>
        <v>961.54874046498219</v>
      </c>
      <c r="AH100" s="1136">
        <f t="shared" ref="AH100:AX100" si="83">AH59+AH89+AH99</f>
        <v>8309.6036324000015</v>
      </c>
      <c r="AI100" s="1136">
        <f t="shared" si="83"/>
        <v>8309.6036324000015</v>
      </c>
      <c r="AJ100" s="1136">
        <f t="shared" si="83"/>
        <v>8119.9340000000002</v>
      </c>
      <c r="AK100" s="1136">
        <f t="shared" si="83"/>
        <v>16429.537632399999</v>
      </c>
      <c r="AL100" s="1136">
        <f t="shared" si="83"/>
        <v>6099.91</v>
      </c>
      <c r="AM100" s="1136">
        <f t="shared" si="83"/>
        <v>1169.6916096329312</v>
      </c>
      <c r="AN100" s="1136">
        <f t="shared" si="83"/>
        <v>10329.627632399999</v>
      </c>
      <c r="AO100" s="1136">
        <f t="shared" si="83"/>
        <v>10329.627632399999</v>
      </c>
      <c r="AP100" s="1136">
        <f t="shared" si="83"/>
        <v>10171.299999999999</v>
      </c>
      <c r="AQ100" s="1136">
        <f t="shared" si="83"/>
        <v>20500.927632400002</v>
      </c>
      <c r="AR100" s="1136">
        <f t="shared" si="83"/>
        <v>7845.38</v>
      </c>
      <c r="AS100" s="1136">
        <f t="shared" si="83"/>
        <v>1353.9392776259861</v>
      </c>
      <c r="AT100" s="1136">
        <f t="shared" si="83"/>
        <v>12655.547632400001</v>
      </c>
      <c r="AU100" s="1136">
        <f t="shared" si="83"/>
        <v>12655.547632400001</v>
      </c>
      <c r="AV100" s="1136">
        <f t="shared" si="83"/>
        <v>8828.5</v>
      </c>
      <c r="AW100" s="1136">
        <f t="shared" si="83"/>
        <v>21484.047632399997</v>
      </c>
      <c r="AX100" s="1136">
        <f t="shared" si="83"/>
        <v>7603.42</v>
      </c>
      <c r="AY100" s="1136">
        <f>AY59+AY89+AY99</f>
        <v>1799.909957625986</v>
      </c>
      <c r="AZ100" s="1136">
        <f>AZ59+AZ89+AZ99</f>
        <v>13880.627632399999</v>
      </c>
      <c r="BA100" s="1150"/>
      <c r="BB100" s="1150"/>
      <c r="BC100" s="1150"/>
    </row>
    <row r="101" spans="1:55" x14ac:dyDescent="0.2">
      <c r="AS101" s="877">
        <f>'[31]chapter-4'!$B$97</f>
        <v>662.18044940618654</v>
      </c>
      <c r="AY101" s="877">
        <f>'[31]chapter-4'!$E$205</f>
        <v>1056.6521645594091</v>
      </c>
      <c r="AZ101" s="877"/>
    </row>
    <row r="102" spans="1:55" x14ac:dyDescent="0.2">
      <c r="AS102" s="877">
        <f>'[31]chapter-4'!$B$98</f>
        <v>414.40735218661177</v>
      </c>
      <c r="AY102" s="877">
        <f>'[31]chapter-4'!$E$206</f>
        <v>448.80900075739265</v>
      </c>
      <c r="AZ102" s="877"/>
    </row>
    <row r="103" spans="1:55" x14ac:dyDescent="0.2">
      <c r="AS103" s="877"/>
      <c r="AY103" s="877"/>
    </row>
    <row r="104" spans="1:55" x14ac:dyDescent="0.2">
      <c r="AM104" s="1593"/>
    </row>
  </sheetData>
  <customSheetViews>
    <customSheetView guid="{80837D84-6D11-4A5F-87D7-272A542EF21A}" showGridLines="0" fitToPage="1" showRuler="0" topLeftCell="O28">
      <selection activeCell="Y32" sqref="Y32"/>
      <pageMargins left="0.25" right="0.25" top="1" bottom="1" header="0.5" footer="0.5"/>
      <printOptions horizontalCentered="1" verticalCentered="1" gridLines="1"/>
      <pageSetup scale="39" orientation="landscape" horizontalDpi="180" verticalDpi="180" r:id="rId1"/>
      <headerFooter alignWithMargins="0"/>
    </customSheetView>
    <customSheetView guid="{5FF41722-DC20-49D9-9ED5-FEC8C9404ECB}" showPageBreaks="1" showGridLines="0" fitToPage="1" printArea="1" showRuler="0" topLeftCell="O28">
      <selection activeCell="Y32" sqref="Y32"/>
      <pageMargins left="0.25" right="0.25" top="1" bottom="1" header="0.5" footer="0.5"/>
      <printOptions horizontalCentered="1" verticalCentered="1" gridLines="1"/>
      <pageSetup scale="37" orientation="landscape" horizontalDpi="180" verticalDpi="180" r:id="rId2"/>
      <headerFooter alignWithMargins="0"/>
    </customSheetView>
    <customSheetView guid="{23A957A0-E704-4A72-A26E-A4FA7FC4849F}" showPageBreaks="1" showGridLines="0" fitToPage="1" printArea="1" showRuler="0" topLeftCell="O28">
      <selection activeCell="Y32" sqref="Y32"/>
      <pageMargins left="0.25" right="0.25" top="1" bottom="1" header="0.5" footer="0.5"/>
      <printOptions horizontalCentered="1" verticalCentered="1" gridLines="1"/>
      <pageSetup scale="37" orientation="landscape" horizontalDpi="180" verticalDpi="180" r:id="rId3"/>
      <headerFooter alignWithMargins="0"/>
    </customSheetView>
  </customSheetViews>
  <mergeCells count="9">
    <mergeCell ref="AU7:AZ7"/>
    <mergeCell ref="AO7:AT7"/>
    <mergeCell ref="B7:B8"/>
    <mergeCell ref="A3:B3"/>
    <mergeCell ref="A7:A8"/>
    <mergeCell ref="U80:U86"/>
    <mergeCell ref="W7:AB7"/>
    <mergeCell ref="AC7:AH7"/>
    <mergeCell ref="AI7:AN7"/>
  </mergeCells>
  <phoneticPr fontId="0" type="noConversion"/>
  <printOptions horizontalCentered="1" gridLines="1"/>
  <pageMargins left="3.937007874015748E-2" right="3.937007874015748E-2" top="0.19685039370078741" bottom="0.19685039370078741" header="0.11811023622047245" footer="0.11811023622047245"/>
  <pageSetup paperSize="8" scale="65" orientation="portrait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B1:S31"/>
  <sheetViews>
    <sheetView showGridLines="0" zoomScale="90" zoomScaleNormal="75" workbookViewId="0">
      <selection activeCell="B1" sqref="B1:J31"/>
    </sheetView>
  </sheetViews>
  <sheetFormatPr defaultRowHeight="12.75" x14ac:dyDescent="0.2"/>
  <cols>
    <col min="1" max="1" width="9.140625" style="62"/>
    <col min="2" max="2" width="4.28515625" style="62" customWidth="1"/>
    <col min="3" max="3" width="13.140625" style="62" customWidth="1"/>
    <col min="4" max="4" width="7.42578125" style="62" customWidth="1"/>
    <col min="5" max="5" width="8.7109375" style="62" customWidth="1"/>
    <col min="6" max="6" width="6.7109375" style="62" customWidth="1"/>
    <col min="7" max="7" width="10.7109375" style="62" customWidth="1"/>
    <col min="8" max="8" width="7.7109375" style="62" customWidth="1"/>
    <col min="9" max="9" width="12.42578125" style="62" customWidth="1"/>
    <col min="10" max="10" width="19.5703125" style="62" customWidth="1"/>
    <col min="11" max="16384" width="9.140625" style="62"/>
  </cols>
  <sheetData>
    <row r="1" spans="2:19" x14ac:dyDescent="0.2">
      <c r="B1" s="61" t="s">
        <v>499</v>
      </c>
      <c r="I1" s="1950" t="s">
        <v>204</v>
      </c>
      <c r="J1" s="1951"/>
    </row>
    <row r="2" spans="2:19" x14ac:dyDescent="0.2">
      <c r="B2" s="61"/>
      <c r="I2" s="127"/>
      <c r="J2" s="68"/>
    </row>
    <row r="3" spans="2:19" x14ac:dyDescent="0.2">
      <c r="D3" s="128" t="s">
        <v>461</v>
      </c>
      <c r="E3" s="128"/>
      <c r="F3" s="128"/>
      <c r="G3" s="128"/>
      <c r="H3" s="128"/>
    </row>
    <row r="4" spans="2:19" x14ac:dyDescent="0.2">
      <c r="C4" s="129" t="s">
        <v>95</v>
      </c>
      <c r="D4" s="130"/>
      <c r="E4" s="131"/>
      <c r="F4" s="130"/>
      <c r="G4" s="130"/>
      <c r="H4" s="130"/>
    </row>
    <row r="5" spans="2:19" x14ac:dyDescent="0.2">
      <c r="C5" s="132"/>
      <c r="E5" s="127"/>
    </row>
    <row r="7" spans="2:19" ht="13.5" thickBot="1" x14ac:dyDescent="0.25"/>
    <row r="8" spans="2:19" x14ac:dyDescent="0.2">
      <c r="B8" s="1945" t="s">
        <v>881</v>
      </c>
      <c r="C8" s="1946"/>
      <c r="D8" s="1946"/>
      <c r="E8" s="1946"/>
      <c r="F8" s="1946"/>
      <c r="G8" s="1946"/>
      <c r="H8" s="1946"/>
      <c r="I8" s="1946"/>
      <c r="J8" s="1947"/>
      <c r="R8" s="62" t="s">
        <v>160</v>
      </c>
      <c r="S8" s="152"/>
    </row>
    <row r="9" spans="2:19" x14ac:dyDescent="0.2">
      <c r="B9" s="63"/>
      <c r="C9" s="133"/>
      <c r="D9" s="133"/>
      <c r="E9" s="133"/>
      <c r="F9" s="64"/>
      <c r="G9" s="64"/>
      <c r="H9" s="133"/>
      <c r="I9" s="1948" t="s">
        <v>533</v>
      </c>
      <c r="J9" s="1949"/>
      <c r="R9" s="62" t="s">
        <v>592</v>
      </c>
      <c r="S9" s="152"/>
    </row>
    <row r="10" spans="2:19" ht="51" x14ac:dyDescent="0.2">
      <c r="B10" s="134" t="s">
        <v>166</v>
      </c>
      <c r="C10" s="135" t="s">
        <v>169</v>
      </c>
      <c r="D10" s="135" t="s">
        <v>170</v>
      </c>
      <c r="E10" s="135" t="s">
        <v>171</v>
      </c>
      <c r="F10" s="135" t="s">
        <v>172</v>
      </c>
      <c r="G10" s="135" t="s">
        <v>243</v>
      </c>
      <c r="H10" s="135" t="s">
        <v>200</v>
      </c>
      <c r="I10" s="135" t="s">
        <v>201</v>
      </c>
      <c r="J10" s="136" t="s">
        <v>202</v>
      </c>
      <c r="R10" s="62" t="s">
        <v>593</v>
      </c>
      <c r="S10" s="152"/>
    </row>
    <row r="11" spans="2:19" ht="51" x14ac:dyDescent="0.2">
      <c r="B11" s="137"/>
      <c r="C11" s="138" t="s">
        <v>203</v>
      </c>
      <c r="D11" s="139"/>
      <c r="E11" s="139"/>
      <c r="F11" s="139"/>
      <c r="G11" s="139" t="s">
        <v>453</v>
      </c>
      <c r="H11" s="139"/>
      <c r="I11" s="139"/>
      <c r="J11" s="140"/>
    </row>
    <row r="12" spans="2:19" x14ac:dyDescent="0.2">
      <c r="B12" s="141"/>
      <c r="C12" s="142" t="s">
        <v>119</v>
      </c>
      <c r="D12" s="143"/>
      <c r="E12" s="143"/>
      <c r="F12" s="138"/>
      <c r="G12" s="143"/>
      <c r="H12" s="143"/>
      <c r="I12" s="144"/>
      <c r="J12" s="145"/>
    </row>
    <row r="13" spans="2:19" ht="13.5" thickBot="1" x14ac:dyDescent="0.25">
      <c r="B13" s="146"/>
      <c r="C13" s="147"/>
      <c r="D13" s="148"/>
      <c r="E13" s="149"/>
      <c r="F13" s="148"/>
      <c r="G13" s="148"/>
      <c r="H13" s="148"/>
      <c r="I13" s="148"/>
      <c r="J13" s="150"/>
    </row>
    <row r="14" spans="2:19" x14ac:dyDescent="0.2">
      <c r="B14" s="1945" t="s">
        <v>882</v>
      </c>
      <c r="C14" s="1946"/>
      <c r="D14" s="1946"/>
      <c r="E14" s="1946"/>
      <c r="F14" s="1946"/>
      <c r="G14" s="1946"/>
      <c r="H14" s="1946"/>
      <c r="I14" s="1946"/>
      <c r="J14" s="1947"/>
    </row>
    <row r="15" spans="2:19" x14ac:dyDescent="0.2">
      <c r="B15" s="63"/>
      <c r="C15" s="133"/>
      <c r="D15" s="133"/>
      <c r="E15" s="133"/>
      <c r="F15" s="64"/>
      <c r="G15" s="64"/>
      <c r="H15" s="133"/>
      <c r="I15" s="1948" t="s">
        <v>533</v>
      </c>
      <c r="J15" s="1949"/>
    </row>
    <row r="16" spans="2:19" ht="51" x14ac:dyDescent="0.2">
      <c r="B16" s="134" t="s">
        <v>166</v>
      </c>
      <c r="C16" s="135" t="s">
        <v>169</v>
      </c>
      <c r="D16" s="135" t="s">
        <v>170</v>
      </c>
      <c r="E16" s="135" t="s">
        <v>171</v>
      </c>
      <c r="F16" s="135" t="s">
        <v>172</v>
      </c>
      <c r="G16" s="135" t="s">
        <v>243</v>
      </c>
      <c r="H16" s="135" t="s">
        <v>200</v>
      </c>
      <c r="I16" s="135" t="s">
        <v>201</v>
      </c>
      <c r="J16" s="136" t="s">
        <v>202</v>
      </c>
    </row>
    <row r="17" spans="2:10" ht="51" x14ac:dyDescent="0.2">
      <c r="B17" s="137"/>
      <c r="C17" s="138" t="s">
        <v>203</v>
      </c>
      <c r="D17" s="139"/>
      <c r="E17" s="139"/>
      <c r="F17" s="139"/>
      <c r="G17" s="139" t="s">
        <v>453</v>
      </c>
      <c r="H17" s="139"/>
      <c r="I17" s="139"/>
      <c r="J17" s="140"/>
    </row>
    <row r="18" spans="2:10" x14ac:dyDescent="0.2">
      <c r="B18" s="141"/>
      <c r="C18" s="142" t="s">
        <v>119</v>
      </c>
      <c r="D18" s="143"/>
      <c r="E18" s="143"/>
      <c r="F18" s="138"/>
      <c r="G18" s="143"/>
      <c r="H18" s="143"/>
      <c r="I18" s="144"/>
      <c r="J18" s="145"/>
    </row>
    <row r="19" spans="2:10" ht="13.5" thickBot="1" x14ac:dyDescent="0.25">
      <c r="B19" s="146"/>
      <c r="C19" s="147"/>
      <c r="D19" s="148"/>
      <c r="E19" s="149"/>
      <c r="F19" s="148"/>
      <c r="G19" s="148"/>
      <c r="H19" s="148"/>
      <c r="I19" s="148"/>
      <c r="J19" s="150"/>
    </row>
    <row r="20" spans="2:10" hidden="1" x14ac:dyDescent="0.2">
      <c r="B20" s="1945" t="s">
        <v>883</v>
      </c>
      <c r="C20" s="1946"/>
      <c r="D20" s="1946"/>
      <c r="E20" s="1946"/>
      <c r="F20" s="1946"/>
      <c r="G20" s="1946"/>
      <c r="H20" s="1946"/>
      <c r="I20" s="1946"/>
      <c r="J20" s="1947"/>
    </row>
    <row r="21" spans="2:10" hidden="1" x14ac:dyDescent="0.2">
      <c r="B21" s="63"/>
      <c r="C21" s="133"/>
      <c r="D21" s="133"/>
      <c r="E21" s="133"/>
      <c r="F21" s="64"/>
      <c r="G21" s="64"/>
      <c r="H21" s="133"/>
      <c r="I21" s="1948" t="s">
        <v>533</v>
      </c>
      <c r="J21" s="1949"/>
    </row>
    <row r="22" spans="2:10" ht="51" hidden="1" x14ac:dyDescent="0.2">
      <c r="B22" s="134" t="s">
        <v>166</v>
      </c>
      <c r="C22" s="135" t="s">
        <v>169</v>
      </c>
      <c r="D22" s="135" t="s">
        <v>170</v>
      </c>
      <c r="E22" s="135" t="s">
        <v>171</v>
      </c>
      <c r="F22" s="135" t="s">
        <v>172</v>
      </c>
      <c r="G22" s="135" t="s">
        <v>243</v>
      </c>
      <c r="H22" s="135" t="s">
        <v>200</v>
      </c>
      <c r="I22" s="135" t="s">
        <v>201</v>
      </c>
      <c r="J22" s="136" t="s">
        <v>202</v>
      </c>
    </row>
    <row r="23" spans="2:10" ht="51" hidden="1" x14ac:dyDescent="0.2">
      <c r="B23" s="137"/>
      <c r="C23" s="138" t="s">
        <v>203</v>
      </c>
      <c r="D23" s="139"/>
      <c r="E23" s="139"/>
      <c r="F23" s="139"/>
      <c r="G23" s="139" t="s">
        <v>453</v>
      </c>
      <c r="H23" s="139"/>
      <c r="I23" s="139"/>
      <c r="J23" s="140"/>
    </row>
    <row r="24" spans="2:10" hidden="1" x14ac:dyDescent="0.2">
      <c r="B24" s="141"/>
      <c r="C24" s="142" t="s">
        <v>119</v>
      </c>
      <c r="D24" s="143"/>
      <c r="E24" s="143"/>
      <c r="F24" s="138"/>
      <c r="G24" s="143"/>
      <c r="H24" s="143"/>
      <c r="I24" s="144"/>
      <c r="J24" s="145"/>
    </row>
    <row r="25" spans="2:10" ht="13.5" hidden="1" thickBot="1" x14ac:dyDescent="0.25">
      <c r="B25" s="146"/>
      <c r="C25" s="147"/>
      <c r="D25" s="148"/>
      <c r="E25" s="149"/>
      <c r="F25" s="148"/>
      <c r="G25" s="148"/>
      <c r="H25" s="148"/>
      <c r="I25" s="148"/>
      <c r="J25" s="150"/>
    </row>
    <row r="26" spans="2:10" x14ac:dyDescent="0.2">
      <c r="B26" s="1945" t="s">
        <v>883</v>
      </c>
      <c r="C26" s="1946"/>
      <c r="D26" s="1946"/>
      <c r="E26" s="1946"/>
      <c r="F26" s="1946"/>
      <c r="G26" s="1946"/>
      <c r="H26" s="1946"/>
      <c r="I26" s="1946"/>
      <c r="J26" s="1947"/>
    </row>
    <row r="27" spans="2:10" x14ac:dyDescent="0.2">
      <c r="B27" s="63"/>
      <c r="C27" s="133"/>
      <c r="D27" s="133"/>
      <c r="E27" s="133"/>
      <c r="F27" s="64"/>
      <c r="G27" s="64"/>
      <c r="H27" s="133"/>
      <c r="I27" s="1948" t="s">
        <v>533</v>
      </c>
      <c r="J27" s="1949"/>
    </row>
    <row r="28" spans="2:10" ht="51" x14ac:dyDescent="0.2">
      <c r="B28" s="134" t="s">
        <v>166</v>
      </c>
      <c r="C28" s="135" t="s">
        <v>169</v>
      </c>
      <c r="D28" s="135" t="s">
        <v>170</v>
      </c>
      <c r="E28" s="135" t="s">
        <v>171</v>
      </c>
      <c r="F28" s="135" t="s">
        <v>172</v>
      </c>
      <c r="G28" s="135" t="s">
        <v>243</v>
      </c>
      <c r="H28" s="135" t="s">
        <v>200</v>
      </c>
      <c r="I28" s="135" t="s">
        <v>201</v>
      </c>
      <c r="J28" s="136" t="s">
        <v>202</v>
      </c>
    </row>
    <row r="29" spans="2:10" ht="51" x14ac:dyDescent="0.2">
      <c r="B29" s="137"/>
      <c r="C29" s="138" t="s">
        <v>203</v>
      </c>
      <c r="D29" s="139"/>
      <c r="E29" s="139"/>
      <c r="F29" s="139"/>
      <c r="G29" s="139" t="s">
        <v>453</v>
      </c>
      <c r="H29" s="139"/>
      <c r="I29" s="139"/>
      <c r="J29" s="140"/>
    </row>
    <row r="30" spans="2:10" x14ac:dyDescent="0.2">
      <c r="B30" s="141"/>
      <c r="C30" s="142" t="s">
        <v>119</v>
      </c>
      <c r="D30" s="143"/>
      <c r="E30" s="143"/>
      <c r="F30" s="138"/>
      <c r="G30" s="143"/>
      <c r="H30" s="143"/>
      <c r="I30" s="144"/>
      <c r="J30" s="145"/>
    </row>
    <row r="31" spans="2:10" ht="13.5" thickBot="1" x14ac:dyDescent="0.25">
      <c r="B31" s="146"/>
      <c r="C31" s="147"/>
      <c r="D31" s="148"/>
      <c r="E31" s="149"/>
      <c r="F31" s="148"/>
      <c r="G31" s="148"/>
      <c r="H31" s="148"/>
      <c r="I31" s="148"/>
      <c r="J31" s="150"/>
    </row>
  </sheetData>
  <customSheetViews>
    <customSheetView guid="{80837D84-6D11-4A5F-87D7-272A542EF21A}" scale="90" showGridLines="0" fitToPage="1" showRuler="0">
      <selection activeCell="D3" sqref="D3"/>
      <pageMargins left="0.75" right="0.75" top="1" bottom="1" header="0.5" footer="0.5"/>
      <printOptions horizontalCentered="1" gridLines="1"/>
      <pageSetup scale="65" orientation="portrait" horizontalDpi="180" verticalDpi="180" r:id="rId1"/>
      <headerFooter alignWithMargins="0"/>
    </customSheetView>
    <customSheetView guid="{5FF41722-DC20-49D9-9ED5-FEC8C9404ECB}" scale="90" showPageBreaks="1" showGridLines="0" fitToPage="1" printArea="1" showRuler="0">
      <selection activeCell="D3" sqref="D3"/>
      <pageMargins left="0.75" right="0.75" top="1" bottom="1" header="0.5" footer="0.5"/>
      <printOptions horizontalCentered="1" gridLines="1"/>
      <pageSetup scale="63" orientation="portrait" horizontalDpi="180" verticalDpi="180" r:id="rId2"/>
      <headerFooter alignWithMargins="0"/>
    </customSheetView>
    <customSheetView guid="{23A957A0-E704-4A72-A26E-A4FA7FC4849F}" scale="90" showPageBreaks="1" showGridLines="0" fitToPage="1" printArea="1" showRuler="0">
      <selection activeCell="D3" sqref="D3"/>
      <pageMargins left="0.75" right="0.75" top="1" bottom="1" header="0.5" footer="0.5"/>
      <printOptions horizontalCentered="1" gridLines="1"/>
      <pageSetup scale="63" orientation="portrait" horizontalDpi="180" verticalDpi="180" r:id="rId3"/>
      <headerFooter alignWithMargins="0"/>
    </customSheetView>
  </customSheetViews>
  <mergeCells count="9">
    <mergeCell ref="B26:J26"/>
    <mergeCell ref="I27:J27"/>
    <mergeCell ref="I1:J1"/>
    <mergeCell ref="B20:J20"/>
    <mergeCell ref="I21:J21"/>
    <mergeCell ref="B8:J8"/>
    <mergeCell ref="I9:J9"/>
    <mergeCell ref="B14:J14"/>
    <mergeCell ref="I15:J15"/>
  </mergeCells>
  <phoneticPr fontId="0" type="noConversion"/>
  <printOptions horizontalCentered="1" gridLines="1"/>
  <pageMargins left="0.75" right="0.75" top="1" bottom="1" header="0.5" footer="0.5"/>
  <pageSetup orientation="portrait" r:id="rId4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O19"/>
  <sheetViews>
    <sheetView showGridLines="0" zoomScale="90" zoomScaleNormal="75" workbookViewId="0">
      <selection sqref="A1:O17"/>
    </sheetView>
  </sheetViews>
  <sheetFormatPr defaultRowHeight="12.75" x14ac:dyDescent="0.2"/>
  <cols>
    <col min="1" max="1" width="15.7109375" style="16" customWidth="1"/>
    <col min="2" max="2" width="38.5703125" style="16" customWidth="1"/>
    <col min="3" max="3" width="10.7109375" style="16" hidden="1" customWidth="1"/>
    <col min="4" max="4" width="11.140625" style="16" hidden="1" customWidth="1"/>
    <col min="5" max="5" width="12" style="16" hidden="1" customWidth="1"/>
    <col min="6" max="6" width="14.7109375" style="16" hidden="1" customWidth="1"/>
    <col min="7" max="7" width="0" style="16" hidden="1" customWidth="1"/>
    <col min="8" max="8" width="12.140625" style="16" hidden="1" customWidth="1"/>
    <col min="9" max="9" width="9.140625" style="16" hidden="1" customWidth="1"/>
    <col min="10" max="10" width="8.140625" style="16" hidden="1" customWidth="1"/>
    <col min="11" max="12" width="0" style="16" hidden="1" customWidth="1"/>
    <col min="13" max="16384" width="9.140625" style="16"/>
  </cols>
  <sheetData>
    <row r="1" spans="1:15" x14ac:dyDescent="0.2">
      <c r="A1" s="5" t="s">
        <v>499</v>
      </c>
      <c r="O1" s="1" t="s">
        <v>9</v>
      </c>
    </row>
    <row r="2" spans="1:15" x14ac:dyDescent="0.2">
      <c r="A2" s="1781" t="s">
        <v>77</v>
      </c>
      <c r="B2" s="1781"/>
      <c r="C2" s="84"/>
      <c r="D2" s="84"/>
      <c r="F2" s="84"/>
      <c r="G2" s="84"/>
      <c r="I2" s="84"/>
      <c r="O2" s="84"/>
    </row>
    <row r="3" spans="1:15" ht="13.5" thickBot="1" x14ac:dyDescent="0.25">
      <c r="A3" s="84"/>
      <c r="B3" s="84"/>
      <c r="C3" s="84"/>
      <c r="D3" s="84"/>
      <c r="F3" s="84"/>
      <c r="G3" s="6"/>
      <c r="I3" s="6"/>
      <c r="K3" s="19"/>
      <c r="L3" s="19"/>
      <c r="N3" s="19"/>
      <c r="O3" s="84"/>
    </row>
    <row r="4" spans="1:15" ht="13.5" thickBot="1" x14ac:dyDescent="0.25">
      <c r="A4" s="84"/>
      <c r="B4" s="90" t="s">
        <v>109</v>
      </c>
      <c r="C4" s="84"/>
      <c r="D4" s="84"/>
      <c r="F4" s="84"/>
      <c r="G4" s="6"/>
      <c r="I4" s="6"/>
      <c r="K4" s="19"/>
      <c r="L4" s="19"/>
      <c r="N4" s="19"/>
      <c r="O4" s="84"/>
    </row>
    <row r="5" spans="1:15" x14ac:dyDescent="0.2">
      <c r="G5" s="19"/>
      <c r="I5" s="19"/>
      <c r="K5" s="19"/>
      <c r="L5" s="19"/>
      <c r="N5" s="19"/>
      <c r="O5" s="2" t="s">
        <v>116</v>
      </c>
    </row>
    <row r="6" spans="1:15" ht="23.25" customHeight="1" x14ac:dyDescent="0.2">
      <c r="A6" s="360" t="s">
        <v>67</v>
      </c>
      <c r="B6" s="360" t="s">
        <v>340</v>
      </c>
      <c r="C6" s="3"/>
      <c r="D6" s="3"/>
      <c r="E6" s="3"/>
      <c r="F6" s="44"/>
      <c r="G6" s="1952"/>
      <c r="H6" s="1953"/>
      <c r="I6" s="1952"/>
      <c r="J6" s="1952"/>
      <c r="K6" s="1952"/>
      <c r="L6" s="1952"/>
      <c r="M6" s="44"/>
      <c r="N6" s="44"/>
      <c r="O6" s="44"/>
    </row>
    <row r="7" spans="1:15" ht="23.25" customHeight="1" x14ac:dyDescent="0.2">
      <c r="A7" s="360"/>
      <c r="B7" s="360"/>
      <c r="C7" s="3" t="s">
        <v>225</v>
      </c>
      <c r="D7" s="3" t="s">
        <v>602</v>
      </c>
      <c r="E7" s="356" t="s">
        <v>385</v>
      </c>
      <c r="F7" s="356" t="s">
        <v>386</v>
      </c>
      <c r="G7" s="356" t="s">
        <v>632</v>
      </c>
      <c r="H7" s="356" t="s">
        <v>633</v>
      </c>
      <c r="I7" s="356" t="s">
        <v>634</v>
      </c>
      <c r="J7" s="356" t="s">
        <v>766</v>
      </c>
      <c r="K7" s="356" t="s">
        <v>767</v>
      </c>
      <c r="L7" s="356" t="s">
        <v>768</v>
      </c>
      <c r="M7" s="356" t="s">
        <v>878</v>
      </c>
      <c r="N7" s="356" t="s">
        <v>879</v>
      </c>
      <c r="O7" s="356" t="s">
        <v>880</v>
      </c>
    </row>
    <row r="8" spans="1:15" ht="23.25" customHeight="1" x14ac:dyDescent="0.2">
      <c r="A8" s="44">
        <v>1</v>
      </c>
      <c r="B8" s="77" t="s">
        <v>205</v>
      </c>
      <c r="C8" s="697">
        <v>0</v>
      </c>
      <c r="D8" s="697">
        <v>42.12</v>
      </c>
      <c r="E8" s="697">
        <v>61.69</v>
      </c>
      <c r="F8" s="697">
        <v>48.07</v>
      </c>
      <c r="G8" s="44">
        <v>30.44</v>
      </c>
      <c r="H8" s="55">
        <v>67.75</v>
      </c>
      <c r="I8" s="896">
        <v>133.07</v>
      </c>
      <c r="J8" s="55">
        <v>69.3</v>
      </c>
      <c r="K8" s="55">
        <f>[27]Sheet1!$P$57</f>
        <v>61.27</v>
      </c>
      <c r="L8" s="1158">
        <f>[24]new2!$D$127</f>
        <v>112.73</v>
      </c>
      <c r="M8" s="55">
        <f>-'[30]2.28 to 2.37'!$C$130</f>
        <v>206.47568480000001</v>
      </c>
      <c r="N8" s="55">
        <f>L8/$L$17*$N$17</f>
        <v>212.59892749333196</v>
      </c>
      <c r="O8" s="55">
        <f>N8/$N$17*$O$17</f>
        <v>223.22887386799857</v>
      </c>
    </row>
    <row r="9" spans="1:15" ht="23.25" customHeight="1" x14ac:dyDescent="0.2">
      <c r="A9" s="44"/>
      <c r="B9" s="77"/>
      <c r="C9" s="697"/>
      <c r="D9" s="697"/>
      <c r="E9" s="697"/>
      <c r="F9" s="697"/>
      <c r="G9" s="44"/>
      <c r="H9" s="44"/>
      <c r="I9" s="897"/>
      <c r="J9" s="44"/>
      <c r="K9" s="44"/>
      <c r="L9" s="1158"/>
      <c r="M9" s="55"/>
      <c r="N9" s="55"/>
      <c r="O9" s="55"/>
    </row>
    <row r="10" spans="1:15" ht="23.25" customHeight="1" x14ac:dyDescent="0.2">
      <c r="A10" s="4">
        <v>2</v>
      </c>
      <c r="B10" s="4" t="s">
        <v>206</v>
      </c>
      <c r="C10" s="697"/>
      <c r="D10" s="697"/>
      <c r="E10" s="697"/>
      <c r="F10" s="697"/>
      <c r="G10" s="44"/>
      <c r="H10" s="44"/>
      <c r="I10" s="897"/>
      <c r="J10" s="44"/>
      <c r="K10" s="44"/>
      <c r="L10" s="1158"/>
      <c r="M10" s="55"/>
      <c r="N10" s="55"/>
      <c r="O10" s="55"/>
    </row>
    <row r="11" spans="1:15" ht="23.25" customHeight="1" x14ac:dyDescent="0.2">
      <c r="A11" s="898" t="s">
        <v>402</v>
      </c>
      <c r="B11" s="44" t="s">
        <v>207</v>
      </c>
      <c r="C11" s="697">
        <v>0</v>
      </c>
      <c r="D11" s="697">
        <v>1.1000000000000001</v>
      </c>
      <c r="E11" s="697">
        <v>1.73</v>
      </c>
      <c r="F11" s="697">
        <v>1.26</v>
      </c>
      <c r="G11" s="44">
        <v>2.39</v>
      </c>
      <c r="H11" s="44">
        <v>4.75</v>
      </c>
      <c r="I11" s="55">
        <f>-'[20]Notes to P&amp; L'!$F$185/10^7</f>
        <v>5.5356991000000004</v>
      </c>
      <c r="J11" s="44">
        <v>8.0399999999999991</v>
      </c>
      <c r="K11" s="55">
        <f>[27]Sheet1!$P$58</f>
        <v>7.8</v>
      </c>
      <c r="L11" s="1158">
        <f>[24]new2!$D$128</f>
        <v>4.91</v>
      </c>
      <c r="M11" s="55">
        <f>-'[30]2.28 to 2.37'!$C$119</f>
        <v>5.2735950999999996</v>
      </c>
      <c r="N11" s="55">
        <f>L11/$L$17*$N$17</f>
        <v>9.2598308701522196</v>
      </c>
      <c r="O11" s="55">
        <f>N11/$N$17*$O$17</f>
        <v>9.7228224136598325</v>
      </c>
    </row>
    <row r="12" spans="1:15" ht="23.25" customHeight="1" x14ac:dyDescent="0.2">
      <c r="A12" s="898" t="s">
        <v>404</v>
      </c>
      <c r="B12" s="77" t="s">
        <v>208</v>
      </c>
      <c r="C12" s="697">
        <v>0</v>
      </c>
      <c r="D12" s="697">
        <v>0</v>
      </c>
      <c r="E12" s="697">
        <v>4.62</v>
      </c>
      <c r="F12" s="697">
        <v>3.67</v>
      </c>
      <c r="G12" s="44">
        <v>6.11</v>
      </c>
      <c r="H12" s="44">
        <v>6.37</v>
      </c>
      <c r="I12" s="55">
        <v>8.25</v>
      </c>
      <c r="J12" s="44">
        <v>21.65</v>
      </c>
      <c r="K12" s="55">
        <f>[27]Sheet1!$P$59</f>
        <v>23.76</v>
      </c>
      <c r="L12" s="1158">
        <f>[24]new2!$D$129</f>
        <v>0.61</v>
      </c>
      <c r="M12" s="55">
        <f>-'[30]2.28 to 2.37'!$C$184</f>
        <v>0.64040109999999995</v>
      </c>
      <c r="N12" s="55">
        <f>L12/$L$17*$N$17</f>
        <v>1.1504066865158562</v>
      </c>
      <c r="O12" s="55">
        <f>N12/$N$17*$O$17</f>
        <v>1.207927020841649</v>
      </c>
    </row>
    <row r="13" spans="1:15" ht="23.25" customHeight="1" x14ac:dyDescent="0.2">
      <c r="A13" s="898" t="s">
        <v>406</v>
      </c>
      <c r="B13" s="44" t="s">
        <v>6</v>
      </c>
      <c r="C13" s="697">
        <v>0</v>
      </c>
      <c r="D13" s="697">
        <v>0.01</v>
      </c>
      <c r="E13" s="697">
        <v>0.01</v>
      </c>
      <c r="F13" s="697"/>
      <c r="G13" s="44"/>
      <c r="H13" s="44"/>
      <c r="I13" s="897"/>
      <c r="J13" s="44"/>
      <c r="K13" s="44"/>
      <c r="L13" s="1158"/>
      <c r="M13" s="55"/>
      <c r="N13" s="55"/>
      <c r="O13" s="55"/>
    </row>
    <row r="14" spans="1:15" ht="23.25" customHeight="1" x14ac:dyDescent="0.2">
      <c r="A14" s="898" t="s">
        <v>408</v>
      </c>
      <c r="B14" s="44" t="s">
        <v>318</v>
      </c>
      <c r="C14" s="697">
        <v>0</v>
      </c>
      <c r="D14" s="697">
        <v>0</v>
      </c>
      <c r="E14" s="697">
        <v>0</v>
      </c>
      <c r="F14" s="697">
        <v>0</v>
      </c>
      <c r="G14" s="44"/>
      <c r="H14" s="44"/>
      <c r="I14" s="897"/>
      <c r="J14" s="44"/>
      <c r="K14" s="44"/>
      <c r="L14" s="1158"/>
      <c r="M14" s="55"/>
      <c r="N14" s="55"/>
      <c r="O14" s="55"/>
    </row>
    <row r="15" spans="1:15" ht="23.25" customHeight="1" x14ac:dyDescent="0.2">
      <c r="A15" s="898" t="s">
        <v>382</v>
      </c>
      <c r="B15" s="44" t="s">
        <v>7</v>
      </c>
      <c r="C15" s="697">
        <v>0</v>
      </c>
      <c r="D15" s="697">
        <v>0</v>
      </c>
      <c r="E15" s="697">
        <v>0</v>
      </c>
      <c r="F15" s="697">
        <v>0</v>
      </c>
      <c r="G15" s="44"/>
      <c r="H15" s="44"/>
      <c r="I15" s="897"/>
      <c r="J15" s="44"/>
      <c r="K15" s="44"/>
      <c r="L15" s="1158"/>
      <c r="M15" s="55"/>
      <c r="N15" s="55"/>
      <c r="O15" s="55"/>
    </row>
    <row r="16" spans="1:15" ht="23.25" customHeight="1" x14ac:dyDescent="0.2">
      <c r="A16" s="44"/>
      <c r="B16" s="174" t="s">
        <v>8</v>
      </c>
      <c r="C16" s="115">
        <f>SUM(C11:C15)</f>
        <v>0</v>
      </c>
      <c r="D16" s="115">
        <f>SUM(D11:D15)</f>
        <v>1.1100000000000001</v>
      </c>
      <c r="E16" s="115">
        <v>0</v>
      </c>
      <c r="F16" s="899">
        <f t="shared" ref="F16:L16" si="0">SUM(F11:F15)</f>
        <v>4.93</v>
      </c>
      <c r="G16" s="44">
        <f t="shared" si="0"/>
        <v>8.5</v>
      </c>
      <c r="H16" s="44">
        <f t="shared" si="0"/>
        <v>11.120000000000001</v>
      </c>
      <c r="I16" s="55">
        <f t="shared" si="0"/>
        <v>13.7856991</v>
      </c>
      <c r="J16" s="44">
        <f t="shared" si="0"/>
        <v>29.689999999999998</v>
      </c>
      <c r="K16" s="44">
        <f t="shared" si="0"/>
        <v>31.560000000000002</v>
      </c>
      <c r="L16" s="177">
        <f t="shared" si="0"/>
        <v>5.5200000000000005</v>
      </c>
      <c r="M16" s="55">
        <f>SUM(M11:M15)</f>
        <v>5.9139961999999997</v>
      </c>
      <c r="N16" s="55">
        <f>SUM(N11:N15)</f>
        <v>10.410237556668076</v>
      </c>
      <c r="O16" s="55">
        <f>SUM(O11:O15)</f>
        <v>10.930749434501482</v>
      </c>
    </row>
    <row r="17" spans="1:15" ht="23.25" customHeight="1" x14ac:dyDescent="0.2">
      <c r="A17" s="44"/>
      <c r="B17" s="360" t="s">
        <v>431</v>
      </c>
      <c r="C17" s="115">
        <f>SUM(C8:C15)</f>
        <v>0</v>
      </c>
      <c r="D17" s="115">
        <f>SUM(D8:D15)</f>
        <v>43.23</v>
      </c>
      <c r="E17" s="115">
        <f>SUM(E8:E15)</f>
        <v>68.05</v>
      </c>
      <c r="F17" s="115">
        <f>F16+F8</f>
        <v>53</v>
      </c>
      <c r="G17" s="115">
        <f t="shared" ref="G17:M17" si="1">G8+G16</f>
        <v>38.94</v>
      </c>
      <c r="H17" s="115">
        <f t="shared" si="1"/>
        <v>78.87</v>
      </c>
      <c r="I17" s="528">
        <f t="shared" si="1"/>
        <v>146.85569909999998</v>
      </c>
      <c r="J17" s="528">
        <f t="shared" si="1"/>
        <v>98.99</v>
      </c>
      <c r="K17" s="528">
        <f t="shared" si="1"/>
        <v>92.830000000000013</v>
      </c>
      <c r="L17" s="538">
        <f t="shared" si="1"/>
        <v>118.25</v>
      </c>
      <c r="M17" s="538">
        <f t="shared" si="1"/>
        <v>212.389681</v>
      </c>
      <c r="N17" s="528">
        <f>'[31]chapter-4'!$B$101</f>
        <v>223.00916505000001</v>
      </c>
      <c r="O17" s="198">
        <f>'[31]chapter-4'!$C$101</f>
        <v>234.15962330250002</v>
      </c>
    </row>
    <row r="18" spans="1:15" x14ac:dyDescent="0.2">
      <c r="C18" s="19"/>
      <c r="D18" s="19"/>
      <c r="E18" s="19"/>
      <c r="F18" s="19"/>
    </row>
    <row r="19" spans="1:15" x14ac:dyDescent="0.2">
      <c r="K19" s="92"/>
    </row>
  </sheetData>
  <customSheetViews>
    <customSheetView guid="{80837D84-6D11-4A5F-87D7-272A542EF21A}" scale="90" showGridLines="0" showRuler="0">
      <selection activeCell="B4" sqref="B4"/>
      <pageMargins left="0.75" right="0.75" top="1" bottom="1" header="0.5" footer="0.5"/>
      <printOptions horizontalCentered="1" gridLines="1"/>
      <pageSetup paperSize="9" scale="86" orientation="landscape" horizontalDpi="180" verticalDpi="180" r:id="rId1"/>
      <headerFooter alignWithMargins="0"/>
    </customSheetView>
    <customSheetView guid="{5FF41722-DC20-49D9-9ED5-FEC8C9404ECB}" scale="90" showPageBreaks="1" showGridLines="0" printArea="1" showRuler="0">
      <selection activeCell="B4" sqref="B4"/>
      <pageMargins left="0.75" right="0.75" top="1" bottom="1" header="0.5" footer="0.5"/>
      <printOptions horizontalCentered="1" gridLines="1"/>
      <pageSetup paperSize="9" scale="86" orientation="landscape" horizontalDpi="180" verticalDpi="180" r:id="rId2"/>
      <headerFooter alignWithMargins="0"/>
    </customSheetView>
    <customSheetView guid="{23A957A0-E704-4A72-A26E-A4FA7FC4849F}" scale="90" showPageBreaks="1" showGridLines="0" printArea="1" showRuler="0">
      <selection activeCell="B4" sqref="B4"/>
      <pageMargins left="0.75" right="0.75" top="1" bottom="1" header="0.5" footer="0.5"/>
      <printOptions horizontalCentered="1" gridLines="1"/>
      <pageSetup paperSize="9" scale="86" orientation="landscape" horizontalDpi="180" verticalDpi="180" r:id="rId3"/>
      <headerFooter alignWithMargins="0"/>
    </customSheetView>
  </customSheetViews>
  <mergeCells count="3">
    <mergeCell ref="A2:B2"/>
    <mergeCell ref="G6:H6"/>
    <mergeCell ref="I6:L6"/>
  </mergeCells>
  <phoneticPr fontId="0" type="noConversion"/>
  <printOptions horizontalCentered="1" gridLines="1"/>
  <pageMargins left="0.49803149600000002" right="0.49803149600000002" top="0.734251969" bottom="0.734251969" header="0.511811023622047" footer="0.511811023622047"/>
  <pageSetup paperSize="9" orientation="portrait" r:id="rId4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2:I17"/>
  <sheetViews>
    <sheetView showGridLines="0" zoomScaleNormal="100" workbookViewId="0">
      <selection activeCell="B2" sqref="A2:I17"/>
    </sheetView>
  </sheetViews>
  <sheetFormatPr defaultRowHeight="12.75" x14ac:dyDescent="0.2"/>
  <cols>
    <col min="1" max="1" width="5.28515625" style="62" customWidth="1"/>
    <col min="2" max="2" width="34.85546875" style="62" customWidth="1"/>
    <col min="3" max="6" width="9.140625" style="62" hidden="1" customWidth="1"/>
    <col min="7" max="7" width="12.140625" style="62" bestFit="1" customWidth="1"/>
    <col min="8" max="8" width="9.140625" style="62"/>
    <col min="9" max="9" width="9.140625" style="62" customWidth="1"/>
    <col min="10" max="16384" width="9.140625" style="62"/>
  </cols>
  <sheetData>
    <row r="2" spans="1:9" x14ac:dyDescent="0.2">
      <c r="A2" s="61" t="s">
        <v>499</v>
      </c>
      <c r="I2" s="71" t="s">
        <v>726</v>
      </c>
    </row>
    <row r="3" spans="1:9" x14ac:dyDescent="0.2">
      <c r="A3" s="1954" t="s">
        <v>78</v>
      </c>
      <c r="B3" s="1954"/>
    </row>
    <row r="4" spans="1:9" ht="13.5" thickBot="1" x14ac:dyDescent="0.25">
      <c r="A4" s="82"/>
      <c r="B4" s="82"/>
    </row>
    <row r="5" spans="1:9" ht="13.5" thickBot="1" x14ac:dyDescent="0.25">
      <c r="A5" s="82"/>
      <c r="B5" s="90" t="s">
        <v>109</v>
      </c>
    </row>
    <row r="6" spans="1:9" ht="13.5" thickBot="1" x14ac:dyDescent="0.25">
      <c r="G6" s="2" t="s">
        <v>116</v>
      </c>
    </row>
    <row r="7" spans="1:9" ht="44.25" customHeight="1" thickBot="1" x14ac:dyDescent="0.25">
      <c r="A7" s="154" t="s">
        <v>67</v>
      </c>
      <c r="B7" s="155" t="s">
        <v>340</v>
      </c>
      <c r="C7" s="1432" t="s">
        <v>634</v>
      </c>
      <c r="D7" s="1433" t="s">
        <v>766</v>
      </c>
      <c r="E7" s="1432" t="s">
        <v>767</v>
      </c>
      <c r="F7" s="1434" t="s">
        <v>768</v>
      </c>
      <c r="G7" s="1414" t="s">
        <v>878</v>
      </c>
      <c r="H7" s="1414" t="s">
        <v>879</v>
      </c>
      <c r="I7" s="1414" t="s">
        <v>880</v>
      </c>
    </row>
    <row r="8" spans="1:9" ht="12.6" customHeight="1" x14ac:dyDescent="0.2">
      <c r="A8" s="156">
        <v>1</v>
      </c>
      <c r="B8" s="208" t="s">
        <v>512</v>
      </c>
      <c r="C8" s="1435">
        <v>0.16</v>
      </c>
      <c r="D8" s="1435">
        <v>0.03</v>
      </c>
      <c r="E8" s="1436">
        <f>[27]Sheet1!$P$64</f>
        <v>4.2818298999999997E-2</v>
      </c>
      <c r="F8" s="1437">
        <f>'[3]chapter-3'!$C$141</f>
        <v>0.197767314</v>
      </c>
      <c r="G8" s="65">
        <f>'[31]chapter-3'!$B$166</f>
        <v>0.55549387500000003</v>
      </c>
      <c r="H8" s="1955" t="s">
        <v>939</v>
      </c>
      <c r="I8" s="1955" t="s">
        <v>939</v>
      </c>
    </row>
    <row r="9" spans="1:9" ht="17.25" customHeight="1" x14ac:dyDescent="0.2">
      <c r="A9" s="157">
        <v>2</v>
      </c>
      <c r="B9" s="209" t="s">
        <v>174</v>
      </c>
      <c r="C9" s="1438">
        <v>0</v>
      </c>
      <c r="D9" s="1438"/>
      <c r="E9" s="1439"/>
      <c r="F9" s="209"/>
      <c r="G9" s="209"/>
      <c r="H9" s="1956"/>
      <c r="I9" s="1956"/>
    </row>
    <row r="10" spans="1:9" ht="12.75" customHeight="1" x14ac:dyDescent="0.2">
      <c r="A10" s="157">
        <v>3</v>
      </c>
      <c r="B10" s="209" t="s">
        <v>0</v>
      </c>
      <c r="C10" s="1438"/>
      <c r="D10" s="1438"/>
      <c r="E10" s="1439">
        <f>[27]Sheet1!$P$69</f>
        <v>-7.250665409999999</v>
      </c>
      <c r="F10" s="209"/>
      <c r="G10" s="209"/>
      <c r="H10" s="1956"/>
      <c r="I10" s="1956"/>
    </row>
    <row r="11" spans="1:9" ht="12.75" customHeight="1" x14ac:dyDescent="0.2">
      <c r="A11" s="157">
        <v>4</v>
      </c>
      <c r="B11" s="158" t="s">
        <v>1</v>
      </c>
      <c r="C11" s="1438">
        <v>-0.11</v>
      </c>
      <c r="D11" s="1438">
        <v>7.0000000000000007E-2</v>
      </c>
      <c r="E11" s="1439">
        <f>[27]Sheet1!$P$65</f>
        <v>0.17866563999999999</v>
      </c>
      <c r="F11" s="1440">
        <f>'[3]chapter-3'!$C$142</f>
        <v>1.4680754</v>
      </c>
      <c r="G11" s="1440">
        <f>'[31]chapter-3'!$B$167</f>
        <v>1.010370166</v>
      </c>
      <c r="H11" s="1956"/>
      <c r="I11" s="1956"/>
    </row>
    <row r="12" spans="1:9" ht="12.75" customHeight="1" x14ac:dyDescent="0.2">
      <c r="A12" s="157">
        <v>5</v>
      </c>
      <c r="B12" s="158" t="s">
        <v>539</v>
      </c>
      <c r="C12" s="1438">
        <v>0.22</v>
      </c>
      <c r="D12" s="1438">
        <v>0.63</v>
      </c>
      <c r="E12" s="1439">
        <f>[27]Sheet1!$P$68</f>
        <v>0.23661550000000001</v>
      </c>
      <c r="F12" s="1440">
        <f>'[3]chapter-3'!$C$145</f>
        <v>4.8686830000000004E-3</v>
      </c>
      <c r="G12" s="209">
        <f>'[31]chapter-3'!$B$170</f>
        <v>0</v>
      </c>
      <c r="H12" s="1956"/>
      <c r="I12" s="1956"/>
    </row>
    <row r="13" spans="1:9" ht="12.75" customHeight="1" x14ac:dyDescent="0.2">
      <c r="A13" s="157">
        <v>6</v>
      </c>
      <c r="B13" s="209" t="s">
        <v>175</v>
      </c>
      <c r="C13" s="1438"/>
      <c r="D13" s="1438"/>
      <c r="E13" s="1439"/>
      <c r="F13" s="209"/>
      <c r="G13" s="209"/>
      <c r="H13" s="1956"/>
      <c r="I13" s="1956"/>
    </row>
    <row r="14" spans="1:9" ht="12.75" customHeight="1" x14ac:dyDescent="0.2">
      <c r="A14" s="157">
        <v>7</v>
      </c>
      <c r="B14" s="209" t="s">
        <v>176</v>
      </c>
      <c r="C14" s="1438">
        <v>10.9</v>
      </c>
      <c r="D14" s="1438"/>
      <c r="E14" s="1439">
        <f>[27]Sheet1!$P$67</f>
        <v>0.44928775099999907</v>
      </c>
      <c r="F14" s="1440">
        <f>'[3]chapter-3'!$C$144</f>
        <v>7.6</v>
      </c>
      <c r="G14" s="1440">
        <f>'[31]chapter-3'!$B$169</f>
        <v>-1.6613230370000005</v>
      </c>
      <c r="H14" s="1956"/>
      <c r="I14" s="1956"/>
    </row>
    <row r="15" spans="1:9" ht="13.5" customHeight="1" thickBot="1" x14ac:dyDescent="0.25">
      <c r="A15" s="159">
        <v>8</v>
      </c>
      <c r="B15" s="161" t="s">
        <v>177</v>
      </c>
      <c r="C15" s="1438">
        <f>'[20]Notes to P&amp; L'!$E$232/10^7</f>
        <v>-1.8217500829999997</v>
      </c>
      <c r="D15" s="1438">
        <v>9.6999999999999993</v>
      </c>
      <c r="E15" s="1439">
        <f>[27]Sheet1!$P$66</f>
        <v>3.9641172170000001</v>
      </c>
      <c r="F15" s="1440">
        <f>'[3]chapter-3'!$C$143</f>
        <v>12.724493606000001</v>
      </c>
      <c r="G15" s="1440">
        <f>'[31]chapter-3'!$B$168</f>
        <v>4.2276322390000001</v>
      </c>
      <c r="H15" s="1956"/>
      <c r="I15" s="1956"/>
    </row>
    <row r="16" spans="1:9" ht="13.5" customHeight="1" thickBot="1" x14ac:dyDescent="0.25">
      <c r="A16" s="160">
        <v>9</v>
      </c>
      <c r="B16" s="158" t="s">
        <v>524</v>
      </c>
      <c r="C16" s="1438">
        <f>'[20]Notes to P&amp; L'!$F$283/10^7</f>
        <v>6.9146456270000014</v>
      </c>
      <c r="D16" s="1438">
        <v>0.37</v>
      </c>
      <c r="E16" s="1439"/>
      <c r="F16" s="209">
        <f>'[3]chapter-3'!$C$147</f>
        <v>-2.2799999999999998</v>
      </c>
      <c r="G16" s="1440">
        <f>'[31]chapter-3'!$B$172+'[31]chapter-3'!$B$171</f>
        <v>8.0777822669999999</v>
      </c>
      <c r="H16" s="1956"/>
      <c r="I16" s="1956"/>
    </row>
    <row r="17" spans="1:9" ht="13.5" customHeight="1" thickBot="1" x14ac:dyDescent="0.25">
      <c r="A17" s="162"/>
      <c r="B17" s="207" t="s">
        <v>431</v>
      </c>
      <c r="C17" s="1441">
        <f>SUM(C8:C16)</f>
        <v>16.262895544000003</v>
      </c>
      <c r="D17" s="1441">
        <f>SUM(D8:D16)</f>
        <v>10.799999999999999</v>
      </c>
      <c r="E17" s="1441">
        <f>SUM(E8:E16)</f>
        <v>-2.3791610029999992</v>
      </c>
      <c r="F17" s="1441">
        <f>SUM(F8:F16)</f>
        <v>19.715205003000001</v>
      </c>
      <c r="G17" s="1441">
        <f>SUM(G8:G16)</f>
        <v>12.20995551</v>
      </c>
      <c r="H17" s="1957"/>
      <c r="I17" s="1957"/>
    </row>
  </sheetData>
  <customSheetViews>
    <customSheetView guid="{80837D84-6D11-4A5F-87D7-272A542EF21A}" showGridLines="0" hiddenColumns="1" showRuler="0" topLeftCell="B1">
      <selection activeCell="F18" sqref="F18"/>
      <pageMargins left="0.75" right="0.75" top="1" bottom="1" header="0.5" footer="0.5"/>
      <printOptions horizontalCentered="1" gridLines="1"/>
      <pageSetup paperSize="9" scale="113" orientation="landscape" horizontalDpi="180" verticalDpi="180" r:id="rId1"/>
      <headerFooter alignWithMargins="0"/>
    </customSheetView>
    <customSheetView guid="{5FF41722-DC20-49D9-9ED5-FEC8C9404ECB}" showPageBreaks="1" showGridLines="0" printArea="1" hiddenColumns="1" showRuler="0" topLeftCell="B1">
      <selection activeCell="F18" sqref="F18"/>
      <pageMargins left="0.75" right="0.75" top="1" bottom="1" header="0.5" footer="0.5"/>
      <printOptions horizontalCentered="1" gridLines="1"/>
      <pageSetup paperSize="9" scale="113" orientation="landscape" horizontalDpi="180" verticalDpi="180" r:id="rId2"/>
      <headerFooter alignWithMargins="0"/>
    </customSheetView>
    <customSheetView guid="{23A957A0-E704-4A72-A26E-A4FA7FC4849F}" showPageBreaks="1" showGridLines="0" printArea="1" hiddenColumns="1" showRuler="0" topLeftCell="B1">
      <selection activeCell="F18" sqref="F18"/>
      <pageMargins left="0.75" right="0.75" top="1" bottom="1" header="0.5" footer="0.5"/>
      <printOptions horizontalCentered="1" gridLines="1"/>
      <pageSetup paperSize="9" scale="113" orientation="landscape" horizontalDpi="180" verticalDpi="180" r:id="rId3"/>
      <headerFooter alignWithMargins="0"/>
    </customSheetView>
  </customSheetViews>
  <mergeCells count="3">
    <mergeCell ref="A3:B3"/>
    <mergeCell ref="H8:H17"/>
    <mergeCell ref="I8:I17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14"/>
  <sheetViews>
    <sheetView showGridLines="0" zoomScale="90" zoomScaleNormal="75" workbookViewId="0">
      <selection sqref="A1:I14"/>
    </sheetView>
  </sheetViews>
  <sheetFormatPr defaultRowHeight="12.75" x14ac:dyDescent="0.2"/>
  <cols>
    <col min="1" max="1" width="6.42578125" style="16" customWidth="1"/>
    <col min="2" max="2" width="44.28515625" style="16" customWidth="1"/>
    <col min="3" max="3" width="9.140625" style="16" hidden="1" customWidth="1"/>
    <col min="4" max="6" width="0" style="16" hidden="1" customWidth="1"/>
    <col min="7" max="8" width="9.140625" style="16"/>
    <col min="9" max="9" width="11.140625" style="16" customWidth="1"/>
    <col min="10" max="16384" width="9.140625" style="16"/>
  </cols>
  <sheetData>
    <row r="1" spans="1:9" x14ac:dyDescent="0.2">
      <c r="A1" s="5" t="s">
        <v>499</v>
      </c>
    </row>
    <row r="2" spans="1:9" x14ac:dyDescent="0.2">
      <c r="A2" s="1781" t="s">
        <v>112</v>
      </c>
      <c r="B2" s="1781"/>
      <c r="I2" s="1774" t="s">
        <v>1346</v>
      </c>
    </row>
    <row r="3" spans="1:9" ht="13.5" thickBot="1" x14ac:dyDescent="0.25">
      <c r="A3" s="84"/>
      <c r="B3" s="84"/>
    </row>
    <row r="4" spans="1:9" ht="13.5" thickBot="1" x14ac:dyDescent="0.25">
      <c r="A4" s="84"/>
      <c r="B4" s="90" t="s">
        <v>109</v>
      </c>
    </row>
    <row r="5" spans="1:9" ht="13.5" thickBot="1" x14ac:dyDescent="0.25"/>
    <row r="6" spans="1:9" ht="27" customHeight="1" thickBot="1" x14ac:dyDescent="0.25">
      <c r="A6" s="24" t="s">
        <v>67</v>
      </c>
      <c r="B6" s="24" t="s">
        <v>340</v>
      </c>
      <c r="C6" s="1442" t="s">
        <v>634</v>
      </c>
      <c r="D6" s="1442" t="s">
        <v>766</v>
      </c>
      <c r="E6" s="1442" t="s">
        <v>767</v>
      </c>
      <c r="F6" s="1442" t="s">
        <v>768</v>
      </c>
      <c r="G6" s="1442" t="s">
        <v>878</v>
      </c>
      <c r="H6" s="1442" t="s">
        <v>879</v>
      </c>
      <c r="I6" s="1442" t="s">
        <v>880</v>
      </c>
    </row>
    <row r="7" spans="1:9" ht="12.75" customHeight="1" x14ac:dyDescent="0.2">
      <c r="A7" s="60">
        <v>1</v>
      </c>
      <c r="B7" s="153" t="s">
        <v>358</v>
      </c>
      <c r="C7" s="252"/>
      <c r="D7" s="1443">
        <v>2.17</v>
      </c>
      <c r="E7" s="1443"/>
      <c r="F7" s="1443"/>
      <c r="G7" s="1443"/>
      <c r="H7" s="1958" t="s">
        <v>731</v>
      </c>
      <c r="I7" s="1443"/>
    </row>
    <row r="8" spans="1:9" x14ac:dyDescent="0.2">
      <c r="A8" s="163"/>
      <c r="B8" s="60" t="s">
        <v>359</v>
      </c>
      <c r="C8" s="252"/>
      <c r="D8" s="1443"/>
      <c r="E8" s="1443"/>
      <c r="F8" s="1443"/>
      <c r="G8" s="1443"/>
      <c r="H8" s="1959"/>
      <c r="I8" s="1443"/>
    </row>
    <row r="9" spans="1:9" x14ac:dyDescent="0.2">
      <c r="A9" s="57"/>
      <c r="B9" s="25" t="s">
        <v>360</v>
      </c>
      <c r="C9" s="252"/>
      <c r="D9" s="1443"/>
      <c r="E9" s="1443"/>
      <c r="F9" s="1443"/>
      <c r="G9" s="1443"/>
      <c r="H9" s="1959"/>
      <c r="I9" s="1443"/>
    </row>
    <row r="10" spans="1:9" x14ac:dyDescent="0.2">
      <c r="A10" s="60">
        <v>2</v>
      </c>
      <c r="B10" s="153" t="s">
        <v>458</v>
      </c>
      <c r="C10" s="252"/>
      <c r="D10" s="1443"/>
      <c r="E10" s="1443"/>
      <c r="F10" s="1443"/>
      <c r="G10" s="1443"/>
      <c r="H10" s="1959"/>
      <c r="I10" s="1443"/>
    </row>
    <row r="11" spans="1:9" x14ac:dyDescent="0.2">
      <c r="A11" s="163"/>
      <c r="B11" s="60" t="s">
        <v>359</v>
      </c>
      <c r="C11" s="252"/>
      <c r="D11" s="1443"/>
      <c r="E11" s="1443"/>
      <c r="F11" s="1443"/>
      <c r="G11" s="1443"/>
      <c r="H11" s="1959"/>
      <c r="I11" s="1443"/>
    </row>
    <row r="12" spans="1:9" x14ac:dyDescent="0.2">
      <c r="A12" s="57"/>
      <c r="B12" s="25" t="s">
        <v>459</v>
      </c>
      <c r="C12" s="252"/>
      <c r="D12" s="1443"/>
      <c r="E12" s="1443"/>
      <c r="F12" s="1443"/>
      <c r="G12" s="1443"/>
      <c r="H12" s="1959"/>
      <c r="I12" s="1443"/>
    </row>
    <row r="13" spans="1:9" ht="13.5" thickBot="1" x14ac:dyDescent="0.25">
      <c r="A13" s="60"/>
      <c r="B13" s="60"/>
      <c r="C13" s="252"/>
      <c r="D13" s="1443"/>
      <c r="E13" s="1443"/>
      <c r="F13" s="1443"/>
      <c r="G13" s="1443"/>
      <c r="H13" s="1959"/>
      <c r="I13" s="1443"/>
    </row>
    <row r="14" spans="1:9" ht="13.5" thickBot="1" x14ac:dyDescent="0.25">
      <c r="A14" s="164">
        <v>3</v>
      </c>
      <c r="B14" s="24" t="s">
        <v>431</v>
      </c>
      <c r="C14" s="253">
        <v>0</v>
      </c>
      <c r="D14" s="433">
        <f>+D7</f>
        <v>2.17</v>
      </c>
      <c r="E14" s="433">
        <v>0</v>
      </c>
      <c r="F14" s="433">
        <v>0</v>
      </c>
      <c r="G14" s="433"/>
      <c r="H14" s="1960"/>
      <c r="I14" s="433"/>
    </row>
  </sheetData>
  <customSheetViews>
    <customSheetView guid="{80837D84-6D11-4A5F-87D7-272A542EF21A}" scale="90" showGridLines="0" showRuler="0" topLeftCell="A35">
      <selection activeCell="B36" sqref="B36"/>
      <pageMargins left="0.75" right="0.75" top="1" bottom="1" header="0.5" footer="0.5"/>
      <printOptions horizontalCentered="1" gridLines="1"/>
      <pageSetup paperSize="9" orientation="landscape" horizontalDpi="180" verticalDpi="180" r:id="rId1"/>
      <headerFooter alignWithMargins="0"/>
    </customSheetView>
    <customSheetView guid="{5FF41722-DC20-49D9-9ED5-FEC8C9404ECB}" scale="90" showPageBreaks="1" showGridLines="0" printArea="1" showRuler="0" topLeftCell="A35">
      <selection activeCell="B36" sqref="B36"/>
      <pageMargins left="0.75" right="0.75" top="1" bottom="1" header="0.5" footer="0.5"/>
      <printOptions horizontalCentered="1" gridLines="1"/>
      <pageSetup paperSize="9" orientation="landscape" horizontalDpi="180" verticalDpi="180" r:id="rId2"/>
      <headerFooter alignWithMargins="0"/>
    </customSheetView>
    <customSheetView guid="{23A957A0-E704-4A72-A26E-A4FA7FC4849F}" scale="90" showPageBreaks="1" showGridLines="0" printArea="1" showRuler="0" topLeftCell="A35">
      <selection activeCell="B36" sqref="B36"/>
      <pageMargins left="0.75" right="0.75" top="1" bottom="1" header="0.5" footer="0.5"/>
      <printOptions horizontalCentered="1" gridLines="1"/>
      <pageSetup paperSize="9" orientation="landscape" horizontalDpi="180" verticalDpi="180" r:id="rId3"/>
      <headerFooter alignWithMargins="0"/>
    </customSheetView>
  </customSheetViews>
  <mergeCells count="2">
    <mergeCell ref="A2:B2"/>
    <mergeCell ref="H7:H14"/>
  </mergeCells>
  <phoneticPr fontId="0" type="noConversion"/>
  <printOptions horizontalCentered="1" gridLines="1"/>
  <pageMargins left="0.25" right="0.25" top="1.4" bottom="0.5" header="0.5" footer="0.5"/>
  <pageSetup paperSize="9" orientation="portrait" r:id="rId4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20"/>
  <sheetViews>
    <sheetView showGridLines="0" zoomScale="120" zoomScaleNormal="120" workbookViewId="0">
      <selection sqref="A1:I18"/>
    </sheetView>
  </sheetViews>
  <sheetFormatPr defaultRowHeight="12.75" x14ac:dyDescent="0.2"/>
  <cols>
    <col min="1" max="1" width="5.85546875" style="16" customWidth="1"/>
    <col min="2" max="2" width="42.5703125" style="16" customWidth="1"/>
    <col min="3" max="6" width="0" style="16" hidden="1" customWidth="1"/>
    <col min="7" max="8" width="9.140625" style="16"/>
    <col min="9" max="9" width="7.7109375" style="16" customWidth="1"/>
    <col min="10" max="16384" width="9.140625" style="16"/>
  </cols>
  <sheetData>
    <row r="1" spans="1:9" x14ac:dyDescent="0.2">
      <c r="A1" s="5" t="s">
        <v>499</v>
      </c>
      <c r="I1" s="16" t="s">
        <v>727</v>
      </c>
    </row>
    <row r="2" spans="1:9" x14ac:dyDescent="0.2">
      <c r="A2" s="1781" t="s">
        <v>525</v>
      </c>
      <c r="B2" s="1781"/>
    </row>
    <row r="3" spans="1:9" ht="13.5" thickBot="1" x14ac:dyDescent="0.25">
      <c r="A3" s="84"/>
      <c r="B3" s="84"/>
    </row>
    <row r="4" spans="1:9" ht="13.5" thickBot="1" x14ac:dyDescent="0.25">
      <c r="A4" s="84"/>
      <c r="B4" s="90" t="s">
        <v>109</v>
      </c>
    </row>
    <row r="5" spans="1:9" ht="13.5" thickBot="1" x14ac:dyDescent="0.25">
      <c r="H5" s="2" t="s">
        <v>116</v>
      </c>
    </row>
    <row r="6" spans="1:9" ht="22.5" customHeight="1" thickBot="1" x14ac:dyDescent="0.25">
      <c r="A6" s="435" t="s">
        <v>67</v>
      </c>
      <c r="B6" s="435" t="s">
        <v>340</v>
      </c>
      <c r="C6" s="292" t="s">
        <v>634</v>
      </c>
      <c r="D6" s="292" t="s">
        <v>766</v>
      </c>
      <c r="E6" s="292" t="s">
        <v>767</v>
      </c>
      <c r="F6" s="292" t="s">
        <v>768</v>
      </c>
      <c r="G6" s="292" t="s">
        <v>878</v>
      </c>
      <c r="H6" s="292" t="s">
        <v>879</v>
      </c>
      <c r="I6" s="292" t="s">
        <v>880</v>
      </c>
    </row>
    <row r="7" spans="1:9" ht="12.75" customHeight="1" x14ac:dyDescent="0.2">
      <c r="A7" s="436"/>
      <c r="B7" s="437" t="s">
        <v>489</v>
      </c>
      <c r="C7" s="59"/>
      <c r="D7" s="1961"/>
      <c r="E7" s="1961"/>
      <c r="F7" s="1961"/>
      <c r="G7" s="1961"/>
      <c r="H7" s="1961"/>
      <c r="I7" s="1961"/>
    </row>
    <row r="8" spans="1:9" ht="15.75" x14ac:dyDescent="0.2">
      <c r="A8" s="438">
        <v>1</v>
      </c>
      <c r="B8" s="439" t="s">
        <v>178</v>
      </c>
      <c r="C8" s="422">
        <f>('[20]Notes to P&amp; L'!$E$302-'[20]Notes to P&amp; L'!$E$296)/10^7</f>
        <v>11.610613718999996</v>
      </c>
      <c r="D8" s="1961"/>
      <c r="E8" s="1961"/>
      <c r="F8" s="1961"/>
      <c r="G8" s="1961"/>
      <c r="H8" s="1961"/>
      <c r="I8" s="1961"/>
    </row>
    <row r="9" spans="1:9" ht="31.5" x14ac:dyDescent="0.2">
      <c r="A9" s="438">
        <v>2</v>
      </c>
      <c r="B9" s="439" t="s">
        <v>804</v>
      </c>
      <c r="C9" s="422">
        <f>('[20]Notes to P&amp; L'!$E$306-'[20]Notes to P&amp; L'!$E$295)/10^7</f>
        <v>-3.9713725000000002</v>
      </c>
      <c r="D9" s="1961"/>
      <c r="E9" s="1961"/>
      <c r="F9" s="1961"/>
      <c r="G9" s="1961"/>
      <c r="H9" s="1961"/>
      <c r="I9" s="1961"/>
    </row>
    <row r="10" spans="1:9" ht="15.75" x14ac:dyDescent="0.2">
      <c r="A10" s="438">
        <v>3</v>
      </c>
      <c r="B10" s="439" t="s">
        <v>805</v>
      </c>
      <c r="C10" s="422">
        <f>-'[20]Notes to P&amp; L'!$E$298/10^7</f>
        <v>-6.3173699000000957E-2</v>
      </c>
      <c r="D10" s="1961"/>
      <c r="E10" s="1961"/>
      <c r="F10" s="1961"/>
      <c r="G10" s="1961"/>
      <c r="H10" s="1961"/>
      <c r="I10" s="1961"/>
    </row>
    <row r="11" spans="1:9" ht="31.5" x14ac:dyDescent="0.2">
      <c r="A11" s="438">
        <v>4</v>
      </c>
      <c r="B11" s="439" t="s">
        <v>270</v>
      </c>
      <c r="C11" s="59"/>
      <c r="D11" s="1961"/>
      <c r="E11" s="1961"/>
      <c r="F11" s="1961"/>
      <c r="G11" s="1961"/>
      <c r="H11" s="1961"/>
      <c r="I11" s="1961"/>
    </row>
    <row r="12" spans="1:9" ht="31.5" customHeight="1" x14ac:dyDescent="0.2">
      <c r="A12" s="438">
        <v>5</v>
      </c>
      <c r="B12" s="439" t="s">
        <v>223</v>
      </c>
      <c r="C12" s="59"/>
      <c r="D12" s="1961"/>
      <c r="E12" s="1961"/>
      <c r="F12" s="1961"/>
      <c r="G12" s="1961"/>
      <c r="H12" s="1961"/>
      <c r="I12" s="1961"/>
    </row>
    <row r="13" spans="1:9" ht="15.75" x14ac:dyDescent="0.2">
      <c r="A13" s="438">
        <v>6</v>
      </c>
      <c r="B13" s="439" t="s">
        <v>39</v>
      </c>
      <c r="C13" s="422"/>
      <c r="D13" s="1961"/>
      <c r="E13" s="1961"/>
      <c r="F13" s="1961"/>
      <c r="G13" s="1961"/>
      <c r="H13" s="1961"/>
      <c r="I13" s="1961"/>
    </row>
    <row r="14" spans="1:9" ht="15.75" x14ac:dyDescent="0.2">
      <c r="A14" s="438">
        <v>7</v>
      </c>
      <c r="B14" s="439" t="s">
        <v>413</v>
      </c>
      <c r="C14" s="422">
        <f>'[20]Notes to P&amp; L'!$E$307/10^7</f>
        <v>3.2836170830000002</v>
      </c>
      <c r="D14" s="1961"/>
      <c r="E14" s="1961"/>
      <c r="F14" s="1961"/>
      <c r="G14" s="1961"/>
      <c r="H14" s="1961"/>
      <c r="I14" s="1961"/>
    </row>
    <row r="15" spans="1:9" ht="15.75" x14ac:dyDescent="0.2">
      <c r="A15" s="438">
        <v>8</v>
      </c>
      <c r="B15" s="439" t="s">
        <v>154</v>
      </c>
      <c r="C15" s="422">
        <f>'[20]Notes to P&amp; L'!$E$301/10^7</f>
        <v>0.4413589</v>
      </c>
      <c r="D15" s="1961"/>
      <c r="E15" s="1961"/>
      <c r="F15" s="1961"/>
      <c r="G15" s="1961"/>
      <c r="H15" s="1961"/>
      <c r="I15" s="1961"/>
    </row>
    <row r="16" spans="1:9" ht="31.5" x14ac:dyDescent="0.2">
      <c r="A16" s="438">
        <v>9</v>
      </c>
      <c r="B16" s="439" t="s">
        <v>108</v>
      </c>
      <c r="C16" s="422">
        <f>'[20]Notes to P&amp; L'!$E$305/10^7</f>
        <v>0.27103519999999998</v>
      </c>
      <c r="D16" s="1961"/>
      <c r="E16" s="1961"/>
      <c r="F16" s="1961"/>
      <c r="G16" s="1961"/>
      <c r="H16" s="1961"/>
      <c r="I16" s="1961"/>
    </row>
    <row r="17" spans="1:9" ht="13.5" thickBot="1" x14ac:dyDescent="0.25">
      <c r="A17" s="440"/>
      <c r="B17" s="440"/>
      <c r="C17" s="449"/>
      <c r="D17" s="1961"/>
      <c r="E17" s="1961"/>
      <c r="F17" s="1961"/>
      <c r="G17" s="1961"/>
      <c r="H17" s="1961"/>
      <c r="I17" s="1961"/>
    </row>
    <row r="18" spans="1:9" ht="13.5" thickBot="1" x14ac:dyDescent="0.25">
      <c r="A18" s="441"/>
      <c r="B18" s="434" t="s">
        <v>256</v>
      </c>
      <c r="C18" s="900">
        <f>SUM(C8:C16)</f>
        <v>11.572078702999995</v>
      </c>
      <c r="D18" s="226">
        <v>0</v>
      </c>
      <c r="E18" s="226">
        <v>0</v>
      </c>
      <c r="F18" s="226">
        <v>0</v>
      </c>
      <c r="G18" s="44"/>
      <c r="H18" s="44"/>
      <c r="I18" s="44"/>
    </row>
    <row r="19" spans="1:9" x14ac:dyDescent="0.2">
      <c r="C19" s="58"/>
      <c r="E19" s="19"/>
    </row>
    <row r="20" spans="1:9" x14ac:dyDescent="0.2">
      <c r="E20" s="19"/>
    </row>
  </sheetData>
  <customSheetViews>
    <customSheetView guid="{80837D84-6D11-4A5F-87D7-272A542EF21A}" showGridLines="0" showRuler="0">
      <selection activeCell="C20" sqref="C20"/>
      <pageMargins left="0.75" right="0.75" top="1" bottom="1" header="0.5" footer="0.5"/>
      <printOptions horizontalCentered="1" gridLines="1"/>
      <pageSetup paperSize="9" scale="110" orientation="landscape" horizontalDpi="180" verticalDpi="180" r:id="rId1"/>
      <headerFooter alignWithMargins="0"/>
    </customSheetView>
    <customSheetView guid="{5FF41722-DC20-49D9-9ED5-FEC8C9404ECB}" showPageBreaks="1" showGridLines="0" printArea="1" showRuler="0">
      <selection activeCell="C20" sqref="C20"/>
      <pageMargins left="0.75" right="0.75" top="1" bottom="1" header="0.5" footer="0.5"/>
      <printOptions horizontalCentered="1" gridLines="1"/>
      <pageSetup paperSize="9" scale="110" orientation="landscape" horizontalDpi="180" verticalDpi="180" r:id="rId2"/>
      <headerFooter alignWithMargins="0"/>
    </customSheetView>
    <customSheetView guid="{23A957A0-E704-4A72-A26E-A4FA7FC4849F}" showPageBreaks="1" showGridLines="0" printArea="1" showRuler="0">
      <selection activeCell="C20" sqref="C20"/>
      <pageMargins left="0.75" right="0.75" top="1" bottom="1" header="0.5" footer="0.5"/>
      <printOptions horizontalCentered="1" gridLines="1"/>
      <pageSetup paperSize="9" scale="110" orientation="landscape" horizontalDpi="180" verticalDpi="180" r:id="rId3"/>
      <headerFooter alignWithMargins="0"/>
    </customSheetView>
  </customSheetViews>
  <mergeCells count="2">
    <mergeCell ref="A2:B2"/>
    <mergeCell ref="D7:I17"/>
  </mergeCells>
  <phoneticPr fontId="0" type="noConversion"/>
  <printOptions horizontalCentered="1" gridLines="1"/>
  <pageMargins left="0.75" right="0.75" top="1" bottom="1" header="0.5" footer="0.5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H114"/>
  <sheetViews>
    <sheetView showGridLines="0" topLeftCell="A16" zoomScale="130" zoomScaleNormal="130" workbookViewId="0">
      <selection activeCell="G52" sqref="G52"/>
    </sheetView>
  </sheetViews>
  <sheetFormatPr defaultRowHeight="16.5" thickTop="1" thickBottom="1" x14ac:dyDescent="0.3"/>
  <cols>
    <col min="1" max="1" width="12.140625" style="66" customWidth="1"/>
    <col min="2" max="2" width="46" style="684" customWidth="1"/>
    <col min="3" max="4" width="10" style="686" hidden="1" customWidth="1"/>
    <col min="5" max="5" width="9.7109375" style="686" customWidth="1"/>
    <col min="6" max="6" width="8.42578125" style="686" customWidth="1"/>
    <col min="7" max="7" width="10.7109375" style="686" customWidth="1"/>
    <col min="8" max="16384" width="9.140625" style="66"/>
  </cols>
  <sheetData>
    <row r="1" spans="1:7" ht="12.75" x14ac:dyDescent="0.2">
      <c r="C1" s="687"/>
      <c r="D1" s="687"/>
      <c r="E1" s="687"/>
      <c r="F1" s="687"/>
      <c r="G1" s="687"/>
    </row>
    <row r="2" spans="1:7" ht="12.75" x14ac:dyDescent="0.2">
      <c r="A2" s="16"/>
      <c r="B2" s="680"/>
      <c r="C2" s="687"/>
      <c r="D2" s="687"/>
      <c r="E2" s="687"/>
      <c r="F2" s="687"/>
      <c r="G2" s="687"/>
    </row>
    <row r="3" spans="1:7" s="62" customFormat="1" ht="12.75" x14ac:dyDescent="0.2">
      <c r="A3" s="61" t="s">
        <v>499</v>
      </c>
      <c r="B3" s="681"/>
      <c r="C3" s="687"/>
      <c r="D3" s="687"/>
      <c r="E3" s="687"/>
      <c r="F3" s="687"/>
      <c r="G3" s="687"/>
    </row>
    <row r="4" spans="1:7" s="62" customFormat="1" ht="20.25" x14ac:dyDescent="0.3">
      <c r="A4" s="1787" t="s">
        <v>115</v>
      </c>
      <c r="B4" s="1787"/>
      <c r="C4" s="687"/>
      <c r="D4" s="687"/>
      <c r="E4" s="687"/>
      <c r="F4" s="687"/>
      <c r="G4" s="687"/>
    </row>
    <row r="5" spans="1:7" s="62" customFormat="1" ht="13.5" thickBot="1" x14ac:dyDescent="0.25">
      <c r="A5" s="84"/>
      <c r="B5" s="7"/>
      <c r="C5" s="687"/>
      <c r="D5" s="687"/>
      <c r="E5" s="687"/>
      <c r="F5" s="687"/>
      <c r="G5" s="687"/>
    </row>
    <row r="6" spans="1:7" s="62" customFormat="1" ht="13.5" thickBot="1" x14ac:dyDescent="0.25">
      <c r="A6" s="82"/>
      <c r="B6" s="682" t="s">
        <v>109</v>
      </c>
      <c r="C6" s="687"/>
      <c r="D6" s="687"/>
      <c r="E6" s="687"/>
      <c r="F6" s="687"/>
      <c r="G6" s="687"/>
    </row>
    <row r="7" spans="1:7" s="62" customFormat="1" ht="12.75" x14ac:dyDescent="0.2">
      <c r="B7" s="681"/>
      <c r="C7" s="687"/>
      <c r="D7" s="687"/>
      <c r="E7" s="687"/>
      <c r="F7" s="687"/>
      <c r="G7" s="687"/>
    </row>
    <row r="8" spans="1:7" s="62" customFormat="1" ht="38.25" customHeight="1" x14ac:dyDescent="0.2">
      <c r="A8" s="935" t="s">
        <v>117</v>
      </c>
      <c r="B8" s="935" t="s">
        <v>118</v>
      </c>
      <c r="C8" s="935" t="s">
        <v>764</v>
      </c>
      <c r="D8" s="935" t="s">
        <v>765</v>
      </c>
      <c r="E8" s="935" t="s">
        <v>873</v>
      </c>
      <c r="F8" s="1420" t="s">
        <v>874</v>
      </c>
      <c r="G8" s="935" t="s">
        <v>877</v>
      </c>
    </row>
    <row r="9" spans="1:7" s="62" customFormat="1" ht="13.5" customHeight="1" x14ac:dyDescent="0.2">
      <c r="A9" s="935"/>
      <c r="B9" s="935"/>
      <c r="C9" s="935"/>
      <c r="D9" s="935"/>
      <c r="E9" s="935"/>
      <c r="F9" s="1420"/>
      <c r="G9" s="64"/>
    </row>
    <row r="10" spans="1:7" s="62" customFormat="1" ht="13.5" customHeight="1" x14ac:dyDescent="0.2">
      <c r="A10" s="935"/>
      <c r="B10" s="935"/>
      <c r="C10" s="935"/>
      <c r="D10" s="935"/>
      <c r="E10" s="935"/>
      <c r="F10" s="1420"/>
      <c r="G10" s="64"/>
    </row>
    <row r="11" spans="1:7" s="62" customFormat="1" ht="12.75" x14ac:dyDescent="0.2">
      <c r="A11" s="935"/>
      <c r="B11" s="935" t="s">
        <v>113</v>
      </c>
      <c r="C11" s="941">
        <f>'[1]Actuals apprd-D1'!$F$117</f>
        <v>31216.710594637429</v>
      </c>
      <c r="D11" s="1309">
        <v>32960.379180082644</v>
      </c>
      <c r="E11" s="1309">
        <f>'[31]chapter-3'!$M$196</f>
        <v>32392.69</v>
      </c>
      <c r="F11" s="1477">
        <f>F12/(100-3.132)*100</f>
        <v>28724.23113933155</v>
      </c>
      <c r="G11" s="522">
        <f>G12/(100-3.102)*100</f>
        <v>29955.957698137889</v>
      </c>
    </row>
    <row r="12" spans="1:7" s="62" customFormat="1" ht="12.75" x14ac:dyDescent="0.2">
      <c r="A12" s="935" t="s">
        <v>120</v>
      </c>
      <c r="B12" s="935" t="s">
        <v>496</v>
      </c>
      <c r="C12" s="941">
        <f>'[2]T&amp;D LOSS'!$C$9</f>
        <v>29906.78</v>
      </c>
      <c r="D12" s="941">
        <v>31742.35</v>
      </c>
      <c r="E12" s="941">
        <f>'[31]chapter-3'!$M$194</f>
        <v>31625.73</v>
      </c>
      <c r="F12" s="1477">
        <f>F13/(100-12)*100</f>
        <v>27824.588220047684</v>
      </c>
      <c r="G12" s="522">
        <f>G13/(100-11.75)*100</f>
        <v>29026.723890341651</v>
      </c>
    </row>
    <row r="13" spans="1:7" s="62" customFormat="1" ht="15" customHeight="1" x14ac:dyDescent="0.2">
      <c r="A13" s="935" t="s">
        <v>331</v>
      </c>
      <c r="B13" s="935" t="s">
        <v>332</v>
      </c>
      <c r="C13" s="941">
        <f>'D2- old'!E57</f>
        <v>25967.263280269999</v>
      </c>
      <c r="D13" s="941">
        <v>27762.471845919998</v>
      </c>
      <c r="E13" s="941">
        <f>'D2-new'!Q62</f>
        <v>27834.597210999997</v>
      </c>
      <c r="F13" s="1477">
        <f>'D2-new'!Y62</f>
        <v>24485.637633641963</v>
      </c>
      <c r="G13" s="522">
        <f>'D2-new'!AC62</f>
        <v>25616.083833226505</v>
      </c>
    </row>
    <row r="14" spans="1:7" s="62" customFormat="1" ht="18.75" customHeight="1" x14ac:dyDescent="0.2">
      <c r="A14" s="935"/>
      <c r="B14" s="935" t="s">
        <v>494</v>
      </c>
      <c r="C14" s="941">
        <f>(C12-C13)/C12*100</f>
        <v>13.172654226666996</v>
      </c>
      <c r="D14" s="941">
        <f>(D12-D13)/D12*100</f>
        <v>12.53807028805366</v>
      </c>
      <c r="E14" s="941">
        <f>(E12-E13)/E12*100</f>
        <v>11.987494957428661</v>
      </c>
      <c r="F14" s="1421">
        <f>(F12-F13)/F12*100</f>
        <v>11.999999999999995</v>
      </c>
      <c r="G14" s="941">
        <f>(G12-G13)/G12*100</f>
        <v>11.750000000000007</v>
      </c>
    </row>
    <row r="15" spans="1:7" s="62" customFormat="1" ht="12.75" x14ac:dyDescent="0.2">
      <c r="A15" s="935"/>
      <c r="B15" s="935" t="s">
        <v>350</v>
      </c>
      <c r="C15" s="935"/>
      <c r="D15" s="935"/>
      <c r="E15" s="935"/>
      <c r="F15" s="1420"/>
      <c r="G15" s="64"/>
    </row>
    <row r="16" spans="1:7" s="62" customFormat="1" ht="12.75" x14ac:dyDescent="0.2">
      <c r="A16" s="935" t="s">
        <v>331</v>
      </c>
      <c r="B16" s="935" t="s">
        <v>351</v>
      </c>
      <c r="C16" s="941">
        <f>'D2- old'!F79</f>
        <v>18042.059535268003</v>
      </c>
      <c r="D16" s="941">
        <f>'D2-new'!J84</f>
        <v>19538.745396200997</v>
      </c>
      <c r="E16" s="941">
        <f>'D2-new'!R84</f>
        <v>21170.697828543871</v>
      </c>
      <c r="F16" s="1421">
        <f>'D2-new'!Z84</f>
        <v>19367.486333615456</v>
      </c>
      <c r="G16" s="522">
        <f>'D2-new'!AD84</f>
        <v>20905.724444344094</v>
      </c>
    </row>
    <row r="17" spans="1:7" s="62" customFormat="1" ht="12.75" x14ac:dyDescent="0.2">
      <c r="A17" s="935" t="s">
        <v>352</v>
      </c>
      <c r="B17" s="935" t="s">
        <v>40</v>
      </c>
      <c r="C17" s="935"/>
      <c r="D17" s="935"/>
      <c r="E17" s="935"/>
      <c r="F17" s="1420"/>
      <c r="G17" s="64"/>
    </row>
    <row r="18" spans="1:7" s="62" customFormat="1" ht="12.75" x14ac:dyDescent="0.2">
      <c r="A18" s="935" t="s">
        <v>41</v>
      </c>
      <c r="B18" s="935" t="s">
        <v>42</v>
      </c>
      <c r="C18" s="941">
        <f>'D-4'!E40</f>
        <v>220.6695675</v>
      </c>
      <c r="D18" s="941">
        <f>'D-4'!F40</f>
        <v>479.97036813900002</v>
      </c>
      <c r="E18" s="941">
        <f>'D-4'!G40</f>
        <v>419.04984771900001</v>
      </c>
      <c r="F18" s="1421">
        <f>'D-4'!H40</f>
        <v>448.64343779455999</v>
      </c>
      <c r="G18" s="941">
        <f>'D-4'!I40</f>
        <v>456.12459814556007</v>
      </c>
    </row>
    <row r="19" spans="1:7" s="5" customFormat="1" ht="12.75" x14ac:dyDescent="0.2">
      <c r="A19" s="942"/>
      <c r="B19" s="942" t="s">
        <v>43</v>
      </c>
      <c r="C19" s="943">
        <f>SUM(C16:C18)</f>
        <v>18262.729102768004</v>
      </c>
      <c r="D19" s="943">
        <f>SUM(D16:D18)</f>
        <v>20018.715764339995</v>
      </c>
      <c r="E19" s="943">
        <f>SUM(E16:E18)</f>
        <v>21589.747676262872</v>
      </c>
      <c r="F19" s="1422">
        <f>SUM(F16:F18)</f>
        <v>19816.129771410015</v>
      </c>
      <c r="G19" s="943">
        <f>SUM(G16:G18)</f>
        <v>21361.849042489655</v>
      </c>
    </row>
    <row r="20" spans="1:7" s="62" customFormat="1" ht="12.75" x14ac:dyDescent="0.2">
      <c r="A20" s="935"/>
      <c r="B20" s="935" t="s">
        <v>44</v>
      </c>
      <c r="C20" s="941"/>
      <c r="D20" s="941"/>
      <c r="E20" s="941"/>
      <c r="F20" s="1421"/>
      <c r="G20" s="64"/>
    </row>
    <row r="21" spans="1:7" ht="12.75" x14ac:dyDescent="0.2">
      <c r="A21" s="935" t="s">
        <v>120</v>
      </c>
      <c r="B21" s="935" t="s">
        <v>45</v>
      </c>
      <c r="C21" s="941">
        <f>'D1-FY-18'!N117</f>
        <v>15123.213698629615</v>
      </c>
      <c r="D21" s="1310">
        <v>18714.60975154932</v>
      </c>
      <c r="E21" s="1310">
        <f>'D1 FY-20actual'!M92</f>
        <v>19144.94356137951</v>
      </c>
      <c r="F21" s="1477">
        <f>'D1FY-21'!R87</f>
        <v>16705.948746767102</v>
      </c>
      <c r="G21" s="1309">
        <f>'D1FY-22'!O114</f>
        <v>17629.567314975498</v>
      </c>
    </row>
    <row r="22" spans="1:7" ht="12.75" x14ac:dyDescent="0.2">
      <c r="A22" s="935" t="s">
        <v>414</v>
      </c>
      <c r="B22" s="935" t="s">
        <v>305</v>
      </c>
      <c r="C22" s="941">
        <f>'D-5'!E27</f>
        <v>98.267228193466892</v>
      </c>
      <c r="D22" s="941">
        <f>'D-5'!F27</f>
        <v>116.14471073</v>
      </c>
      <c r="E22" s="941">
        <f>'D-5'!G27</f>
        <v>114.83152707737432</v>
      </c>
      <c r="F22" s="1421">
        <f>'D-5'!H27</f>
        <v>140.12591617966831</v>
      </c>
      <c r="G22" s="941">
        <f>'D-5'!I27</f>
        <v>153.73130985094633</v>
      </c>
    </row>
    <row r="23" spans="1:7" ht="12.75" x14ac:dyDescent="0.2">
      <c r="A23" s="935" t="s">
        <v>96</v>
      </c>
      <c r="B23" s="935" t="s">
        <v>97</v>
      </c>
      <c r="C23" s="941">
        <f>'D-6'!E27</f>
        <v>1110.6320426349998</v>
      </c>
      <c r="D23" s="941">
        <f>'D-6'!F27</f>
        <v>1364.8707323649999</v>
      </c>
      <c r="E23" s="941">
        <f>'D-6'!G27</f>
        <v>1591.1372525909646</v>
      </c>
      <c r="F23" s="1421">
        <f>'D-6'!H27</f>
        <v>1768.6619201672202</v>
      </c>
      <c r="G23" s="941">
        <f>'D-6'!I27</f>
        <v>1940.3884811869509</v>
      </c>
    </row>
    <row r="24" spans="1:7" ht="12.75" x14ac:dyDescent="0.2">
      <c r="A24" s="935" t="s">
        <v>98</v>
      </c>
      <c r="B24" s="935" t="s">
        <v>99</v>
      </c>
      <c r="C24" s="941">
        <f>'D-7'!D35</f>
        <v>258.02500401730094</v>
      </c>
      <c r="D24" s="941">
        <f>'D-7'!E35</f>
        <v>319.174986687</v>
      </c>
      <c r="E24" s="941">
        <f>'D-7'!F35</f>
        <v>390.00249550235253</v>
      </c>
      <c r="F24" s="1421">
        <f>'D-7'!G35</f>
        <v>411.32711579995953</v>
      </c>
      <c r="G24" s="941">
        <f>'D-7'!H35</f>
        <v>451.26453416412789</v>
      </c>
    </row>
    <row r="25" spans="1:7" ht="12.75" x14ac:dyDescent="0.2">
      <c r="A25" s="935"/>
      <c r="B25" s="935"/>
      <c r="C25" s="941"/>
      <c r="D25" s="941"/>
      <c r="E25" s="941"/>
      <c r="F25" s="1421"/>
      <c r="G25" s="1423"/>
    </row>
    <row r="26" spans="1:7" ht="12.75" x14ac:dyDescent="0.2">
      <c r="A26" s="935" t="s">
        <v>100</v>
      </c>
      <c r="B26" s="935" t="s">
        <v>504</v>
      </c>
      <c r="C26" s="941">
        <f>'D-8'!J29-'D-8'!K29</f>
        <v>454.75</v>
      </c>
      <c r="D26" s="941">
        <f>'D-8'!N30</f>
        <v>530.18000000000006</v>
      </c>
      <c r="E26" s="941">
        <f>'D-8'!Q30</f>
        <v>753.5336699770935</v>
      </c>
      <c r="F26" s="1421">
        <f>'D-8'!T30</f>
        <v>777.83351809317742</v>
      </c>
      <c r="G26" s="941">
        <f>'D-8'!W30</f>
        <v>915.44584298414179</v>
      </c>
    </row>
    <row r="27" spans="1:7" ht="12.75" x14ac:dyDescent="0.2">
      <c r="A27" s="935"/>
      <c r="B27" s="935"/>
      <c r="C27" s="941"/>
      <c r="D27" s="941"/>
      <c r="E27" s="941"/>
      <c r="F27" s="1421"/>
      <c r="G27" s="1423"/>
    </row>
    <row r="28" spans="1:7" ht="12.75" x14ac:dyDescent="0.2">
      <c r="A28" s="935" t="s">
        <v>323</v>
      </c>
      <c r="B28" s="935" t="s">
        <v>324</v>
      </c>
      <c r="C28" s="941">
        <f>'D-9'!AA100</f>
        <v>948.80844149999984</v>
      </c>
      <c r="D28" s="941">
        <f>'D-9'!AG100</f>
        <v>961.54874046498219</v>
      </c>
      <c r="E28" s="941">
        <f>'D-9'!AM100</f>
        <v>1169.6916096329312</v>
      </c>
      <c r="F28" s="1421">
        <f>'D-9'!AS100</f>
        <v>1353.9392776259861</v>
      </c>
      <c r="G28" s="1458">
        <f>'D-9'!AY100</f>
        <v>1799.909957625986</v>
      </c>
    </row>
    <row r="29" spans="1:7" ht="12.75" x14ac:dyDescent="0.2">
      <c r="A29" s="935"/>
      <c r="B29" s="935"/>
      <c r="C29" s="935"/>
      <c r="D29" s="935"/>
      <c r="E29" s="935"/>
      <c r="F29" s="1420"/>
      <c r="G29" s="1423"/>
    </row>
    <row r="30" spans="1:7" s="62" customFormat="1" ht="12.75" x14ac:dyDescent="0.2">
      <c r="A30" s="935"/>
      <c r="B30" s="935" t="s">
        <v>325</v>
      </c>
      <c r="C30" s="941">
        <f>SUM(C21:C28)</f>
        <v>17993.696414975384</v>
      </c>
      <c r="D30" s="941">
        <f>SUM(D21:D28)</f>
        <v>22006.528921796307</v>
      </c>
      <c r="E30" s="941">
        <f>SUM(E21:E28)</f>
        <v>23164.140116160223</v>
      </c>
      <c r="F30" s="1421">
        <f>SUM(F21:F28)</f>
        <v>21157.836494633113</v>
      </c>
      <c r="G30" s="941">
        <f>SUM(G21:G28)</f>
        <v>22890.307440787656</v>
      </c>
    </row>
    <row r="31" spans="1:7" s="62" customFormat="1" ht="12.75" x14ac:dyDescent="0.2">
      <c r="A31" s="935" t="s">
        <v>326</v>
      </c>
      <c r="B31" s="935" t="s">
        <v>327</v>
      </c>
      <c r="C31" s="935"/>
      <c r="D31" s="935"/>
      <c r="E31" s="935"/>
      <c r="F31" s="1420"/>
      <c r="G31" s="64"/>
    </row>
    <row r="32" spans="1:7" s="62" customFormat="1" ht="12.75" x14ac:dyDescent="0.2">
      <c r="A32" s="935"/>
      <c r="B32" s="935" t="s">
        <v>328</v>
      </c>
      <c r="C32" s="935">
        <f>'D-10'!K17</f>
        <v>92.830000000000013</v>
      </c>
      <c r="D32" s="941">
        <f>'D-10'!L17</f>
        <v>118.25</v>
      </c>
      <c r="E32" s="941">
        <f>'D-10'!M17</f>
        <v>212.389681</v>
      </c>
      <c r="F32" s="1421">
        <f>'D-10'!N17</f>
        <v>223.00916505000001</v>
      </c>
      <c r="G32" s="522">
        <f>'D-10'!O17</f>
        <v>234.15962330250002</v>
      </c>
    </row>
    <row r="33" spans="1:8" s="62" customFormat="1" ht="12.75" x14ac:dyDescent="0.2">
      <c r="A33" s="935"/>
      <c r="B33" s="935" t="s">
        <v>329</v>
      </c>
      <c r="C33" s="935"/>
      <c r="D33" s="935"/>
      <c r="E33" s="935"/>
      <c r="F33" s="1420"/>
      <c r="G33" s="64"/>
    </row>
    <row r="34" spans="1:8" s="62" customFormat="1" ht="12.75" x14ac:dyDescent="0.2">
      <c r="A34" s="935"/>
      <c r="B34" s="935" t="s">
        <v>325</v>
      </c>
      <c r="C34" s="935">
        <f>SUM(C32:C33)</f>
        <v>92.830000000000013</v>
      </c>
      <c r="D34" s="941">
        <f>SUM(D32:D33)</f>
        <v>118.25</v>
      </c>
      <c r="E34" s="941">
        <f>SUM(E32:E33)</f>
        <v>212.389681</v>
      </c>
      <c r="F34" s="1421">
        <f>SUM(F32:F33)</f>
        <v>223.00916505000001</v>
      </c>
      <c r="G34" s="941">
        <f>SUM(G32:G33)</f>
        <v>234.15962330250002</v>
      </c>
    </row>
    <row r="35" spans="1:8" s="62" customFormat="1" ht="12.75" x14ac:dyDescent="0.2">
      <c r="A35" s="935" t="s">
        <v>330</v>
      </c>
      <c r="B35" s="935" t="s">
        <v>343</v>
      </c>
      <c r="C35" s="941">
        <f>'D-11'!E17</f>
        <v>-2.3791610029999992</v>
      </c>
      <c r="D35" s="941">
        <f>'D-11'!F17</f>
        <v>19.715205003000001</v>
      </c>
      <c r="E35" s="941">
        <f>'D-11'!G17</f>
        <v>12.20995551</v>
      </c>
      <c r="F35" s="1420">
        <f>'D-11'!H17</f>
        <v>0</v>
      </c>
      <c r="G35" s="64"/>
    </row>
    <row r="36" spans="1:8" s="62" customFormat="1" ht="12.75" x14ac:dyDescent="0.2">
      <c r="A36" s="935" t="s">
        <v>344</v>
      </c>
      <c r="B36" s="935" t="s">
        <v>345</v>
      </c>
      <c r="C36" s="935"/>
      <c r="D36" s="935"/>
      <c r="E36" s="935"/>
      <c r="F36" s="1420"/>
      <c r="G36" s="64"/>
    </row>
    <row r="37" spans="1:8" s="62" customFormat="1" ht="12.75" x14ac:dyDescent="0.2">
      <c r="A37" s="935"/>
      <c r="B37" s="935" t="s">
        <v>346</v>
      </c>
      <c r="C37" s="941">
        <f>C30-C34+C35-C36</f>
        <v>17898.487253972384</v>
      </c>
      <c r="D37" s="941">
        <f>D30-D34+D35-D36</f>
        <v>21907.994126799309</v>
      </c>
      <c r="E37" s="941">
        <f>E30-E34+E35-E36</f>
        <v>22963.960390670221</v>
      </c>
      <c r="F37" s="1421">
        <f>F30-F34+F35-F36</f>
        <v>20934.827329583113</v>
      </c>
      <c r="G37" s="941">
        <f>G30-G34+G35-G36</f>
        <v>22656.147817485155</v>
      </c>
    </row>
    <row r="38" spans="1:8" s="62" customFormat="1" ht="12.75" x14ac:dyDescent="0.2">
      <c r="A38" s="935"/>
      <c r="B38" s="935" t="s">
        <v>347</v>
      </c>
      <c r="C38" s="941">
        <f>C19-C37</f>
        <v>364.24184879562017</v>
      </c>
      <c r="D38" s="941">
        <f>D19-D37</f>
        <v>-1889.2783624593139</v>
      </c>
      <c r="E38" s="941">
        <f>E19-E37</f>
        <v>-1374.2127144073493</v>
      </c>
      <c r="F38" s="1421">
        <f>F19-F37</f>
        <v>-1118.6975581730985</v>
      </c>
      <c r="G38" s="941">
        <f>G19-G37</f>
        <v>-1294.2987749954991</v>
      </c>
    </row>
    <row r="39" spans="1:8" s="62" customFormat="1" ht="12.75" x14ac:dyDescent="0.2">
      <c r="A39" s="935"/>
      <c r="B39" s="935" t="s">
        <v>280</v>
      </c>
      <c r="C39" s="941">
        <f>[4]Sheet2!$E$287</f>
        <v>94.03</v>
      </c>
      <c r="D39" s="941">
        <v>230.41</v>
      </c>
      <c r="E39" s="941">
        <f>'[31]chapter-3'!$F$263</f>
        <v>5.8291771000000026</v>
      </c>
      <c r="F39" s="1421"/>
      <c r="G39" s="941"/>
    </row>
    <row r="40" spans="1:8" s="62" customFormat="1" ht="12.75" x14ac:dyDescent="0.2">
      <c r="A40" s="935"/>
      <c r="B40" s="935" t="s">
        <v>348</v>
      </c>
      <c r="C40" s="941">
        <f>C38-C39</f>
        <v>270.2118487956202</v>
      </c>
      <c r="D40" s="941">
        <f>D38-D39</f>
        <v>-2119.6883624593138</v>
      </c>
      <c r="E40" s="941">
        <f>E38-E39</f>
        <v>-1380.0418915073492</v>
      </c>
      <c r="F40" s="1421">
        <f>F38-F39</f>
        <v>-1118.6975581730985</v>
      </c>
      <c r="G40" s="941">
        <f>G38-G39</f>
        <v>-1294.2987749954991</v>
      </c>
    </row>
    <row r="41" spans="1:8" s="62" customFormat="1" ht="12.75" x14ac:dyDescent="0.2">
      <c r="A41" s="935" t="s">
        <v>349</v>
      </c>
      <c r="B41" s="935" t="s">
        <v>622</v>
      </c>
      <c r="C41" s="941">
        <f>'D-13'!E18</f>
        <v>0</v>
      </c>
      <c r="D41" s="941">
        <f>'D-13'!F18</f>
        <v>0</v>
      </c>
      <c r="E41" s="941">
        <f>'D-13'!G18</f>
        <v>0</v>
      </c>
      <c r="F41" s="1421">
        <f>'D-13'!H18</f>
        <v>0</v>
      </c>
      <c r="G41" s="941">
        <f>'D-13'!I18</f>
        <v>0</v>
      </c>
    </row>
    <row r="42" spans="1:8" s="62" customFormat="1" ht="12.75" x14ac:dyDescent="0.2">
      <c r="A42" s="935"/>
      <c r="B42" s="935"/>
      <c r="C42" s="941">
        <f>C41+C40</f>
        <v>270.2118487956202</v>
      </c>
      <c r="D42" s="941">
        <f>D41+D40</f>
        <v>-2119.6883624593138</v>
      </c>
      <c r="E42" s="941">
        <f>E41+E40</f>
        <v>-1380.0418915073492</v>
      </c>
      <c r="F42" s="1421">
        <f>F41+F40</f>
        <v>-1118.6975581730985</v>
      </c>
      <c r="G42" s="941">
        <f>G41+G40</f>
        <v>-1294.2987749954991</v>
      </c>
    </row>
    <row r="43" spans="1:8" s="62" customFormat="1" ht="12.75" x14ac:dyDescent="0.2">
      <c r="A43" s="935"/>
      <c r="B43" s="935" t="s">
        <v>864</v>
      </c>
      <c r="C43" s="935"/>
      <c r="D43" s="935"/>
      <c r="E43" s="935">
        <v>0</v>
      </c>
      <c r="F43" s="1420">
        <v>1</v>
      </c>
      <c r="G43" s="935">
        <v>1</v>
      </c>
    </row>
    <row r="44" spans="1:8" s="62" customFormat="1" ht="13.5" customHeight="1" x14ac:dyDescent="0.2">
      <c r="A44" s="935"/>
      <c r="B44" s="1478" t="s">
        <v>1225</v>
      </c>
      <c r="C44" s="935"/>
      <c r="D44" s="935"/>
      <c r="E44" s="941"/>
      <c r="F44" s="1420"/>
      <c r="G44" s="522">
        <f>-E50</f>
        <v>1559.3727533582176</v>
      </c>
    </row>
    <row r="45" spans="1:8" s="62" customFormat="1" ht="13.5" customHeight="1" x14ac:dyDescent="0.2">
      <c r="A45" s="935"/>
      <c r="B45" s="935" t="s">
        <v>1226</v>
      </c>
      <c r="C45" s="935"/>
      <c r="D45" s="935"/>
      <c r="E45" s="935"/>
      <c r="F45" s="1420"/>
      <c r="G45" s="522">
        <f>'[31]chapter-4'!$E$217</f>
        <v>384.36750000000006</v>
      </c>
      <c r="H45" s="1195"/>
    </row>
    <row r="46" spans="1:8" s="62" customFormat="1" ht="12.75" x14ac:dyDescent="0.2">
      <c r="A46" s="935" t="s">
        <v>71</v>
      </c>
      <c r="B46" s="935" t="s">
        <v>398</v>
      </c>
      <c r="C46" s="935"/>
      <c r="D46" s="935"/>
      <c r="E46" s="935"/>
      <c r="F46" s="1420"/>
      <c r="G46" s="64"/>
    </row>
    <row r="47" spans="1:8" s="62" customFormat="1" ht="12.75" x14ac:dyDescent="0.2">
      <c r="A47" s="935"/>
      <c r="B47" s="935" t="s">
        <v>810</v>
      </c>
      <c r="C47" s="935"/>
      <c r="D47" s="935"/>
      <c r="E47" s="935"/>
      <c r="F47" s="1420"/>
      <c r="G47" s="64"/>
    </row>
    <row r="48" spans="1:8" s="62" customFormat="1" ht="12.75" x14ac:dyDescent="0.2">
      <c r="A48" s="935"/>
      <c r="B48" s="935" t="s">
        <v>808</v>
      </c>
      <c r="C48" s="935"/>
      <c r="D48" s="935"/>
      <c r="E48" s="941">
        <f>'[31]chapter-3'!$F$266</f>
        <v>0</v>
      </c>
      <c r="F48" s="1420"/>
      <c r="G48" s="64"/>
    </row>
    <row r="49" spans="1:8" s="62" customFormat="1" ht="12.75" x14ac:dyDescent="0.2">
      <c r="A49" s="935"/>
      <c r="B49" s="935" t="s">
        <v>4</v>
      </c>
      <c r="C49" s="941">
        <f>'A-4'!N15</f>
        <v>132.9845905</v>
      </c>
      <c r="D49" s="941">
        <f>'A-4'!O15</f>
        <v>163.85966049999999</v>
      </c>
      <c r="E49" s="941">
        <f>'A-4'!P15</f>
        <v>179.33086185086833</v>
      </c>
      <c r="F49" s="1421">
        <f>'A-4'!Q15</f>
        <v>273.19814673176381</v>
      </c>
      <c r="G49" s="941">
        <f>'A-4'!R15</f>
        <v>317.61029673176375</v>
      </c>
    </row>
    <row r="50" spans="1:8" s="62" customFormat="1" ht="12.75" x14ac:dyDescent="0.2">
      <c r="A50" s="935"/>
      <c r="B50" s="935" t="s">
        <v>433</v>
      </c>
      <c r="C50" s="941">
        <f>C42-C49-C44-C43-C45-C48-C47</f>
        <v>137.2272582956202</v>
      </c>
      <c r="D50" s="941">
        <f>D42-D49-D44-D43-D45-D48-D47</f>
        <v>-2283.5480229593136</v>
      </c>
      <c r="E50" s="941">
        <f>E42-E49+E44-E43-E45-E48-E47</f>
        <v>-1559.3727533582176</v>
      </c>
      <c r="F50" s="1421">
        <f>F42-F49-F44-F43-F45-F48-F47</f>
        <v>-1392.8957049048622</v>
      </c>
      <c r="G50" s="941">
        <f>G42-G49-G44-G43-G45-G48-G47</f>
        <v>-3556.649325085481</v>
      </c>
    </row>
    <row r="51" spans="1:8" ht="12.75" x14ac:dyDescent="0.2">
      <c r="A51" s="62"/>
      <c r="B51" s="683"/>
      <c r="C51" s="687"/>
      <c r="D51" s="684"/>
      <c r="E51" s="684"/>
      <c r="F51" s="684"/>
      <c r="G51" s="684"/>
      <c r="H51" s="684"/>
    </row>
    <row r="52" spans="1:8" ht="12.75" x14ac:dyDescent="0.2">
      <c r="C52" s="687"/>
      <c r="D52" s="684"/>
      <c r="E52" s="684"/>
      <c r="F52" s="684"/>
      <c r="G52" s="684"/>
      <c r="H52" s="684"/>
    </row>
    <row r="53" spans="1:8" ht="17.25" customHeight="1" x14ac:dyDescent="0.2">
      <c r="C53" s="687"/>
      <c r="D53" s="684"/>
      <c r="E53" s="684"/>
      <c r="F53" s="684"/>
      <c r="G53" s="684"/>
      <c r="H53" s="684"/>
    </row>
    <row r="54" spans="1:8" ht="12.75" x14ac:dyDescent="0.2">
      <c r="C54" s="687"/>
      <c r="D54" s="687"/>
      <c r="E54" s="687"/>
      <c r="F54" s="687"/>
      <c r="G54" s="687"/>
    </row>
    <row r="55" spans="1:8" ht="12.75" x14ac:dyDescent="0.2">
      <c r="C55" s="687"/>
      <c r="D55" s="687"/>
      <c r="E55" s="687"/>
      <c r="F55" s="687"/>
      <c r="G55" s="687"/>
    </row>
    <row r="56" spans="1:8" ht="12.75" x14ac:dyDescent="0.2">
      <c r="C56" s="687"/>
      <c r="D56" s="687"/>
      <c r="E56" s="687"/>
      <c r="F56" s="687"/>
      <c r="G56" s="687"/>
    </row>
    <row r="57" spans="1:8" ht="12.75" x14ac:dyDescent="0.2">
      <c r="C57" s="687"/>
      <c r="D57" s="687"/>
      <c r="E57" s="687"/>
      <c r="F57" s="687"/>
      <c r="G57" s="687"/>
    </row>
    <row r="58" spans="1:8" ht="12.75" x14ac:dyDescent="0.2">
      <c r="C58" s="687"/>
      <c r="D58" s="687"/>
      <c r="E58" s="687"/>
      <c r="F58" s="687"/>
      <c r="G58" s="687"/>
    </row>
    <row r="59" spans="1:8" ht="12.75" x14ac:dyDescent="0.2">
      <c r="C59" s="687"/>
      <c r="D59" s="687"/>
      <c r="E59" s="687"/>
      <c r="F59" s="687"/>
      <c r="G59" s="687"/>
    </row>
    <row r="60" spans="1:8" ht="12.75" x14ac:dyDescent="0.2">
      <c r="C60" s="687"/>
      <c r="D60" s="687"/>
      <c r="E60" s="687"/>
      <c r="F60" s="687"/>
      <c r="G60" s="687"/>
    </row>
    <row r="61" spans="1:8" ht="12.75" x14ac:dyDescent="0.2">
      <c r="C61" s="687"/>
      <c r="D61" s="687"/>
      <c r="E61" s="687"/>
      <c r="F61" s="687"/>
      <c r="G61" s="687"/>
    </row>
    <row r="62" spans="1:8" ht="12.75" x14ac:dyDescent="0.2">
      <c r="C62" s="687"/>
      <c r="D62" s="687"/>
      <c r="E62" s="687"/>
      <c r="F62" s="687"/>
      <c r="G62" s="687"/>
    </row>
    <row r="63" spans="1:8" ht="12.75" x14ac:dyDescent="0.2">
      <c r="C63" s="687"/>
      <c r="D63" s="687"/>
      <c r="E63" s="687"/>
      <c r="F63" s="687"/>
      <c r="G63" s="687"/>
    </row>
    <row r="64" spans="1:8" ht="12.75" x14ac:dyDescent="0.2">
      <c r="C64" s="687"/>
      <c r="D64" s="687"/>
      <c r="E64" s="687"/>
      <c r="F64" s="687"/>
      <c r="G64" s="687"/>
    </row>
    <row r="65" spans="3:7" ht="12.75" x14ac:dyDescent="0.2">
      <c r="C65" s="687"/>
      <c r="D65" s="687"/>
      <c r="E65" s="687"/>
      <c r="F65" s="687"/>
      <c r="G65" s="687"/>
    </row>
    <row r="66" spans="3:7" ht="12.75" x14ac:dyDescent="0.2">
      <c r="C66" s="687"/>
      <c r="D66" s="687"/>
      <c r="E66" s="687"/>
      <c r="F66" s="687"/>
      <c r="G66" s="687"/>
    </row>
    <row r="67" spans="3:7" ht="12.75" x14ac:dyDescent="0.2">
      <c r="C67" s="687"/>
      <c r="D67" s="687"/>
      <c r="E67" s="687"/>
      <c r="F67" s="687"/>
      <c r="G67" s="687"/>
    </row>
    <row r="68" spans="3:7" ht="12.75" x14ac:dyDescent="0.2">
      <c r="C68" s="687"/>
      <c r="D68" s="687"/>
      <c r="E68" s="687"/>
      <c r="F68" s="687"/>
      <c r="G68" s="687"/>
    </row>
    <row r="69" spans="3:7" ht="12.75" x14ac:dyDescent="0.2">
      <c r="C69" s="687"/>
      <c r="D69" s="687"/>
      <c r="E69" s="687"/>
      <c r="F69" s="687"/>
      <c r="G69" s="687"/>
    </row>
    <row r="70" spans="3:7" ht="12.75" x14ac:dyDescent="0.2">
      <c r="C70" s="687"/>
      <c r="D70" s="687"/>
      <c r="E70" s="687"/>
      <c r="F70" s="687"/>
      <c r="G70" s="687"/>
    </row>
    <row r="71" spans="3:7" ht="12.75" x14ac:dyDescent="0.2">
      <c r="C71" s="687"/>
      <c r="D71" s="687"/>
      <c r="E71" s="687"/>
      <c r="F71" s="687"/>
      <c r="G71" s="687"/>
    </row>
    <row r="72" spans="3:7" ht="12.75" x14ac:dyDescent="0.2">
      <c r="C72" s="687"/>
      <c r="D72" s="687"/>
      <c r="E72" s="687"/>
      <c r="F72" s="687"/>
      <c r="G72" s="687"/>
    </row>
    <row r="73" spans="3:7" ht="12.75" x14ac:dyDescent="0.2">
      <c r="C73" s="687"/>
      <c r="D73" s="687"/>
      <c r="E73" s="687"/>
      <c r="F73" s="687"/>
      <c r="G73" s="687"/>
    </row>
    <row r="74" spans="3:7" ht="12.75" x14ac:dyDescent="0.2">
      <c r="C74" s="687"/>
      <c r="D74" s="687"/>
      <c r="E74" s="687"/>
      <c r="F74" s="687"/>
      <c r="G74" s="687"/>
    </row>
    <row r="75" spans="3:7" ht="12.75" x14ac:dyDescent="0.2">
      <c r="C75" s="687"/>
      <c r="D75" s="687"/>
      <c r="E75" s="687"/>
      <c r="F75" s="687"/>
      <c r="G75" s="687"/>
    </row>
    <row r="76" spans="3:7" ht="12.75" x14ac:dyDescent="0.2">
      <c r="C76" s="687"/>
      <c r="D76" s="687"/>
      <c r="E76" s="687"/>
      <c r="F76" s="687"/>
      <c r="G76" s="687"/>
    </row>
    <row r="77" spans="3:7" ht="12.75" x14ac:dyDescent="0.2">
      <c r="C77" s="687"/>
      <c r="D77" s="687"/>
      <c r="E77" s="687"/>
      <c r="F77" s="687"/>
      <c r="G77" s="687"/>
    </row>
    <row r="78" spans="3:7" ht="12.75" x14ac:dyDescent="0.2">
      <c r="C78" s="687"/>
      <c r="D78" s="687"/>
      <c r="E78" s="687"/>
      <c r="F78" s="687"/>
      <c r="G78" s="687"/>
    </row>
    <row r="79" spans="3:7" ht="12.75" x14ac:dyDescent="0.2">
      <c r="C79" s="687"/>
      <c r="D79" s="687"/>
      <c r="E79" s="687"/>
      <c r="F79" s="687"/>
      <c r="G79" s="687"/>
    </row>
    <row r="80" spans="3:7" ht="12.75" x14ac:dyDescent="0.2">
      <c r="C80" s="687"/>
      <c r="D80" s="687"/>
      <c r="E80" s="687"/>
      <c r="F80" s="687"/>
      <c r="G80" s="687"/>
    </row>
    <row r="81" spans="3:7" ht="12.75" x14ac:dyDescent="0.2">
      <c r="C81" s="687"/>
      <c r="D81" s="687"/>
      <c r="E81" s="687"/>
      <c r="F81" s="687"/>
      <c r="G81" s="687"/>
    </row>
    <row r="82" spans="3:7" ht="12.75" x14ac:dyDescent="0.2">
      <c r="C82" s="687"/>
      <c r="D82" s="687"/>
      <c r="E82" s="687"/>
      <c r="F82" s="687"/>
      <c r="G82" s="687"/>
    </row>
    <row r="83" spans="3:7" ht="12.75" x14ac:dyDescent="0.2">
      <c r="C83" s="687"/>
      <c r="D83" s="687"/>
      <c r="E83" s="687"/>
      <c r="F83" s="687"/>
      <c r="G83" s="687"/>
    </row>
    <row r="84" spans="3:7" ht="12.75" x14ac:dyDescent="0.2">
      <c r="C84" s="687"/>
      <c r="D84" s="687"/>
      <c r="E84" s="687"/>
      <c r="F84" s="687"/>
      <c r="G84" s="687"/>
    </row>
    <row r="85" spans="3:7" ht="12.75" x14ac:dyDescent="0.2">
      <c r="C85" s="687"/>
      <c r="D85" s="687"/>
      <c r="E85" s="687"/>
      <c r="F85" s="687"/>
      <c r="G85" s="687"/>
    </row>
    <row r="86" spans="3:7" ht="12.75" x14ac:dyDescent="0.2">
      <c r="C86" s="687"/>
      <c r="D86" s="687"/>
      <c r="E86" s="687"/>
      <c r="F86" s="687"/>
      <c r="G86" s="687"/>
    </row>
    <row r="87" spans="3:7" ht="12.75" x14ac:dyDescent="0.2">
      <c r="C87" s="687"/>
      <c r="D87" s="687"/>
      <c r="E87" s="687"/>
      <c r="F87" s="687"/>
      <c r="G87" s="687"/>
    </row>
    <row r="88" spans="3:7" ht="12.75" x14ac:dyDescent="0.2">
      <c r="C88" s="687"/>
      <c r="D88" s="687"/>
      <c r="E88" s="687"/>
      <c r="F88" s="687"/>
      <c r="G88" s="687"/>
    </row>
    <row r="89" spans="3:7" ht="12.75" x14ac:dyDescent="0.2">
      <c r="C89" s="687"/>
      <c r="D89" s="687"/>
      <c r="E89" s="687"/>
      <c r="F89" s="687"/>
      <c r="G89" s="687"/>
    </row>
    <row r="90" spans="3:7" ht="12.75" x14ac:dyDescent="0.2">
      <c r="C90" s="687"/>
      <c r="D90" s="687"/>
      <c r="E90" s="687"/>
      <c r="F90" s="687"/>
      <c r="G90" s="687"/>
    </row>
    <row r="91" spans="3:7" ht="12.75" x14ac:dyDescent="0.2">
      <c r="C91" s="687"/>
      <c r="D91" s="687"/>
      <c r="E91" s="687"/>
      <c r="F91" s="687"/>
      <c r="G91" s="687"/>
    </row>
    <row r="92" spans="3:7" ht="12.75" x14ac:dyDescent="0.2">
      <c r="C92" s="687"/>
      <c r="D92" s="687"/>
      <c r="E92" s="687"/>
      <c r="F92" s="687"/>
      <c r="G92" s="687"/>
    </row>
    <row r="93" spans="3:7" ht="12.75" x14ac:dyDescent="0.2">
      <c r="C93" s="687"/>
      <c r="D93" s="687"/>
      <c r="E93" s="687"/>
      <c r="F93" s="687"/>
      <c r="G93" s="687"/>
    </row>
    <row r="94" spans="3:7" ht="12.75" x14ac:dyDescent="0.2">
      <c r="C94" s="687"/>
      <c r="D94" s="687"/>
      <c r="E94" s="687"/>
      <c r="F94" s="687"/>
      <c r="G94" s="687"/>
    </row>
    <row r="95" spans="3:7" ht="12.75" x14ac:dyDescent="0.2">
      <c r="C95" s="687"/>
      <c r="D95" s="687"/>
      <c r="E95" s="687"/>
      <c r="F95" s="687"/>
      <c r="G95" s="687"/>
    </row>
    <row r="96" spans="3:7" ht="12.75" x14ac:dyDescent="0.2">
      <c r="C96" s="687"/>
      <c r="D96" s="687"/>
      <c r="E96" s="687"/>
      <c r="F96" s="687"/>
      <c r="G96" s="687"/>
    </row>
    <row r="97" spans="3:7" ht="12.75" x14ac:dyDescent="0.2">
      <c r="C97" s="687"/>
      <c r="D97" s="687"/>
      <c r="E97" s="687"/>
      <c r="F97" s="687"/>
      <c r="G97" s="687"/>
    </row>
    <row r="98" spans="3:7" ht="12.75" x14ac:dyDescent="0.2">
      <c r="C98" s="687"/>
      <c r="D98" s="687"/>
      <c r="E98" s="687"/>
      <c r="F98" s="687"/>
      <c r="G98" s="687"/>
    </row>
    <row r="99" spans="3:7" ht="12.75" x14ac:dyDescent="0.2">
      <c r="C99" s="687"/>
      <c r="D99" s="687"/>
      <c r="E99" s="687"/>
      <c r="F99" s="687"/>
      <c r="G99" s="687"/>
    </row>
    <row r="100" spans="3:7" ht="12.75" x14ac:dyDescent="0.2">
      <c r="C100" s="687"/>
      <c r="D100" s="687"/>
      <c r="E100" s="687"/>
      <c r="F100" s="687"/>
      <c r="G100" s="687"/>
    </row>
    <row r="101" spans="3:7" ht="12.75" x14ac:dyDescent="0.2">
      <c r="C101" s="687"/>
      <c r="D101" s="687"/>
      <c r="E101" s="687"/>
      <c r="F101" s="687"/>
      <c r="G101" s="687"/>
    </row>
    <row r="102" spans="3:7" ht="12.75" x14ac:dyDescent="0.2">
      <c r="C102" s="687"/>
      <c r="D102" s="687"/>
      <c r="E102" s="687"/>
      <c r="F102" s="687"/>
      <c r="G102" s="687"/>
    </row>
    <row r="103" spans="3:7" ht="12.75" x14ac:dyDescent="0.2">
      <c r="C103" s="687"/>
      <c r="D103" s="687"/>
      <c r="E103" s="687"/>
      <c r="F103" s="687"/>
      <c r="G103" s="687"/>
    </row>
    <row r="104" spans="3:7" ht="12.75" x14ac:dyDescent="0.2">
      <c r="C104" s="687"/>
      <c r="D104" s="687"/>
      <c r="E104" s="687"/>
      <c r="F104" s="687"/>
      <c r="G104" s="687"/>
    </row>
    <row r="105" spans="3:7" ht="12.75" x14ac:dyDescent="0.2">
      <c r="C105" s="687"/>
      <c r="D105" s="687"/>
      <c r="E105" s="687"/>
      <c r="F105" s="687"/>
      <c r="G105" s="687"/>
    </row>
    <row r="106" spans="3:7" ht="12.75" x14ac:dyDescent="0.2">
      <c r="C106" s="687"/>
      <c r="D106" s="687"/>
      <c r="E106" s="687"/>
      <c r="F106" s="687"/>
      <c r="G106" s="687"/>
    </row>
    <row r="107" spans="3:7" ht="12.75" x14ac:dyDescent="0.2">
      <c r="C107" s="687"/>
      <c r="D107" s="687"/>
      <c r="E107" s="687"/>
      <c r="F107" s="687"/>
      <c r="G107" s="687"/>
    </row>
    <row r="108" spans="3:7" ht="12.75" x14ac:dyDescent="0.2">
      <c r="C108" s="687"/>
      <c r="D108" s="687"/>
      <c r="E108" s="687"/>
      <c r="F108" s="687"/>
      <c r="G108" s="687"/>
    </row>
    <row r="109" spans="3:7" ht="12.75" x14ac:dyDescent="0.2">
      <c r="C109" s="687"/>
      <c r="D109" s="687"/>
      <c r="E109" s="687"/>
      <c r="F109" s="687"/>
      <c r="G109" s="687"/>
    </row>
    <row r="110" spans="3:7" ht="12.75" x14ac:dyDescent="0.2">
      <c r="C110" s="687"/>
      <c r="D110" s="687"/>
      <c r="E110" s="687"/>
      <c r="F110" s="687"/>
      <c r="G110" s="687"/>
    </row>
    <row r="111" spans="3:7" ht="12.75" x14ac:dyDescent="0.2">
      <c r="C111" s="687"/>
      <c r="D111" s="687"/>
      <c r="E111" s="687"/>
      <c r="F111" s="687"/>
      <c r="G111" s="687"/>
    </row>
    <row r="112" spans="3:7" ht="12.75" x14ac:dyDescent="0.2">
      <c r="C112" s="687"/>
      <c r="D112" s="687"/>
      <c r="E112" s="687"/>
      <c r="F112" s="687"/>
      <c r="G112" s="687"/>
    </row>
    <row r="113" spans="3:7" ht="12.75" x14ac:dyDescent="0.2">
      <c r="C113" s="687"/>
      <c r="D113" s="687"/>
      <c r="E113" s="687"/>
      <c r="F113" s="687"/>
      <c r="G113" s="687"/>
    </row>
    <row r="114" spans="3:7" ht="13.5" thickBot="1" x14ac:dyDescent="0.25">
      <c r="C114" s="687"/>
      <c r="D114" s="687"/>
      <c r="E114" s="687"/>
      <c r="F114" s="687"/>
      <c r="G114" s="687"/>
    </row>
  </sheetData>
  <customSheetViews>
    <customSheetView guid="{80837D84-6D11-4A5F-87D7-272A542EF21A}" scale="90" showGridLines="0" showRuler="0" topLeftCell="A20">
      <selection activeCell="F26" sqref="F26:F27"/>
      <pageMargins left="0.75" right="0.75" top="1" bottom="1" header="0.5" footer="0.5"/>
      <printOptions gridLines="1"/>
      <pageSetup paperSize="9" scale="90" orientation="portrait" horizontalDpi="180" verticalDpi="180" r:id="rId1"/>
      <headerFooter alignWithMargins="0"/>
    </customSheetView>
    <customSheetView guid="{5FF41722-DC20-49D9-9ED5-FEC8C9404ECB}" scale="90" showPageBreaks="1" showGridLines="0" printArea="1" showRuler="0" topLeftCell="A20">
      <selection activeCell="F26" sqref="F26:F27"/>
      <pageMargins left="0.75" right="0.75" top="1" bottom="1" header="0.5" footer="0.5"/>
      <printOptions gridLines="1"/>
      <pageSetup paperSize="9" scale="90" orientation="portrait" horizontalDpi="180" verticalDpi="180" r:id="rId2"/>
      <headerFooter alignWithMargins="0"/>
    </customSheetView>
    <customSheetView guid="{23A957A0-E704-4A72-A26E-A4FA7FC4849F}" scale="90" showPageBreaks="1" showGridLines="0" printArea="1" showRuler="0" topLeftCell="A20">
      <selection activeCell="F26" sqref="F26:F27"/>
      <pageMargins left="0.75" right="0.75" top="1" bottom="1" header="0.5" footer="0.5"/>
      <printOptions gridLines="1"/>
      <pageSetup paperSize="9" scale="90" orientation="portrait" horizontalDpi="180" verticalDpi="180" r:id="rId3"/>
      <headerFooter alignWithMargins="0"/>
    </customSheetView>
  </customSheetViews>
  <mergeCells count="1">
    <mergeCell ref="A4:B4"/>
  </mergeCells>
  <phoneticPr fontId="0" type="noConversion"/>
  <printOptions horizontalCentered="1" gridLines="1"/>
  <pageMargins left="0.23622047244094491" right="0.23622047244094491" top="0.62992125984251968" bottom="0.15748031496062992" header="1.2598425196850394" footer="0.51181102362204722"/>
  <pageSetup paperSize="9" orientation="portrait" r:id="rId4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Q18"/>
  <sheetViews>
    <sheetView showGridLines="0" zoomScale="120" zoomScaleNormal="120" workbookViewId="0">
      <selection activeCell="A2" sqref="A2:Q17"/>
    </sheetView>
  </sheetViews>
  <sheetFormatPr defaultRowHeight="12.75" x14ac:dyDescent="0.2"/>
  <cols>
    <col min="1" max="1" width="5.42578125" style="62" customWidth="1"/>
    <col min="2" max="2" width="24.28515625" style="62" customWidth="1"/>
    <col min="3" max="3" width="9.7109375" style="62" hidden="1" customWidth="1"/>
    <col min="4" max="4" width="9.140625" style="62" hidden="1" customWidth="1"/>
    <col min="5" max="5" width="9.7109375" style="62" hidden="1" customWidth="1"/>
    <col min="6" max="6" width="9.28515625" style="62" hidden="1" customWidth="1"/>
    <col min="7" max="7" width="9.85546875" style="62" hidden="1" customWidth="1"/>
    <col min="8" max="8" width="9.28515625" style="62" hidden="1" customWidth="1"/>
    <col min="9" max="9" width="11.7109375" style="1159" hidden="1" customWidth="1"/>
    <col min="10" max="10" width="11" style="1159" hidden="1" customWidth="1"/>
    <col min="11" max="11" width="12.42578125" style="1159" customWidth="1"/>
    <col min="12" max="12" width="11.42578125" style="1159" customWidth="1"/>
    <col min="13" max="13" width="12.42578125" style="1159" customWidth="1"/>
    <col min="14" max="14" width="11.28515625" style="1159" customWidth="1"/>
    <col min="15" max="15" width="12.42578125" style="1159" customWidth="1"/>
    <col min="16" max="16" width="9.140625" style="62"/>
    <col min="17" max="17" width="11.42578125" style="62" customWidth="1"/>
    <col min="18" max="16384" width="9.140625" style="62"/>
  </cols>
  <sheetData>
    <row r="2" spans="1:17" x14ac:dyDescent="0.2">
      <c r="A2" s="61" t="s">
        <v>499</v>
      </c>
      <c r="Q2" s="1160" t="s">
        <v>610</v>
      </c>
    </row>
    <row r="3" spans="1:17" x14ac:dyDescent="0.2">
      <c r="B3" s="82"/>
    </row>
    <row r="4" spans="1:17" ht="13.5" thickBot="1" x14ac:dyDescent="0.25">
      <c r="A4" s="82"/>
      <c r="B4" s="82"/>
      <c r="L4" s="1161" t="s">
        <v>611</v>
      </c>
    </row>
    <row r="5" spans="1:17" ht="13.5" thickBot="1" x14ac:dyDescent="0.25">
      <c r="A5" s="82"/>
      <c r="B5" s="90" t="s">
        <v>109</v>
      </c>
    </row>
    <row r="6" spans="1:17" ht="13.5" customHeight="1" thickBot="1" x14ac:dyDescent="0.25"/>
    <row r="7" spans="1:17" ht="12.75" customHeight="1" x14ac:dyDescent="0.2">
      <c r="A7" s="1967" t="s">
        <v>67</v>
      </c>
      <c r="B7" s="1969" t="s">
        <v>340</v>
      </c>
      <c r="C7" s="376"/>
      <c r="D7" s="1945" t="s">
        <v>631</v>
      </c>
      <c r="E7" s="1965"/>
      <c r="F7" s="1945" t="s">
        <v>763</v>
      </c>
      <c r="G7" s="1966"/>
      <c r="H7" s="1964" t="s">
        <v>764</v>
      </c>
      <c r="I7" s="1965"/>
      <c r="J7" s="1962" t="s">
        <v>765</v>
      </c>
      <c r="K7" s="1963"/>
      <c r="L7" s="1971" t="s">
        <v>875</v>
      </c>
      <c r="M7" s="1972"/>
      <c r="N7" s="1962" t="s">
        <v>876</v>
      </c>
      <c r="O7" s="1963"/>
      <c r="P7" s="1962" t="s">
        <v>877</v>
      </c>
      <c r="Q7" s="1963"/>
    </row>
    <row r="8" spans="1:17" ht="48.75" customHeight="1" thickBot="1" x14ac:dyDescent="0.25">
      <c r="A8" s="1968"/>
      <c r="B8" s="1970"/>
      <c r="C8" s="520" t="s">
        <v>486</v>
      </c>
      <c r="D8" s="520" t="s">
        <v>257</v>
      </c>
      <c r="E8" s="520" t="s">
        <v>486</v>
      </c>
      <c r="F8" s="520" t="s">
        <v>257</v>
      </c>
      <c r="G8" s="520" t="s">
        <v>486</v>
      </c>
      <c r="H8" s="1189" t="s">
        <v>257</v>
      </c>
      <c r="I8" s="1190" t="s">
        <v>486</v>
      </c>
      <c r="J8" s="1191" t="s">
        <v>257</v>
      </c>
      <c r="K8" s="1192" t="s">
        <v>486</v>
      </c>
      <c r="L8" s="1193" t="s">
        <v>257</v>
      </c>
      <c r="M8" s="1190" t="s">
        <v>486</v>
      </c>
      <c r="N8" s="1191" t="s">
        <v>257</v>
      </c>
      <c r="O8" s="1192" t="s">
        <v>486</v>
      </c>
      <c r="P8" s="1191" t="s">
        <v>257</v>
      </c>
      <c r="Q8" s="1192" t="s">
        <v>486</v>
      </c>
    </row>
    <row r="9" spans="1:17" x14ac:dyDescent="0.2">
      <c r="A9" s="165">
        <v>1</v>
      </c>
      <c r="B9" s="515" t="s">
        <v>258</v>
      </c>
      <c r="C9" s="166"/>
      <c r="D9" s="166"/>
      <c r="E9" s="226">
        <v>2059.7542616000001</v>
      </c>
      <c r="F9" s="226">
        <f>SUM(F2:F7)</f>
        <v>0</v>
      </c>
      <c r="G9" s="226">
        <f>2416.86+G12</f>
        <v>2532.0700000000002</v>
      </c>
      <c r="H9" s="1183"/>
      <c r="I9" s="1184">
        <f>I16+I12</f>
        <v>3203.93</v>
      </c>
      <c r="J9" s="1185"/>
      <c r="K9" s="1186">
        <f>K16+K12</f>
        <v>3652.8300000000004</v>
      </c>
      <c r="L9" s="1187"/>
      <c r="M9" s="1184">
        <f>M16+M12</f>
        <v>4086.160933612</v>
      </c>
      <c r="N9" s="1188"/>
      <c r="O9" s="1186">
        <f>O16+O12</f>
        <v>4674.7835951509987</v>
      </c>
      <c r="P9" s="1188"/>
      <c r="Q9" s="1186">
        <f>Q16+Q12</f>
        <v>5129.6981268679983</v>
      </c>
    </row>
    <row r="10" spans="1:17" ht="25.5" x14ac:dyDescent="0.2">
      <c r="A10" s="158">
        <v>2</v>
      </c>
      <c r="B10" s="516" t="s">
        <v>86</v>
      </c>
      <c r="C10" s="166"/>
      <c r="D10" s="166"/>
      <c r="E10" s="166"/>
      <c r="F10" s="64"/>
      <c r="G10" s="166"/>
      <c r="H10" s="64"/>
      <c r="I10" s="1164"/>
      <c r="J10" s="1171"/>
      <c r="K10" s="1172"/>
      <c r="L10" s="1168"/>
      <c r="M10" s="1179"/>
      <c r="N10" s="1171"/>
      <c r="O10" s="1174"/>
      <c r="P10" s="1171"/>
      <c r="Q10" s="1174"/>
    </row>
    <row r="11" spans="1:17" ht="25.5" x14ac:dyDescent="0.2">
      <c r="A11" s="167">
        <v>3</v>
      </c>
      <c r="B11" s="516" t="s">
        <v>573</v>
      </c>
      <c r="C11" s="166"/>
      <c r="D11" s="166"/>
      <c r="E11" s="166"/>
      <c r="F11" s="64"/>
      <c r="G11" s="166"/>
      <c r="H11" s="64"/>
      <c r="I11" s="1164"/>
      <c r="J11" s="1171"/>
      <c r="K11" s="1172"/>
      <c r="L11" s="1168"/>
      <c r="M11" s="1179"/>
      <c r="N11" s="1171"/>
      <c r="O11" s="1174"/>
      <c r="P11" s="1171"/>
      <c r="Q11" s="1174"/>
    </row>
    <row r="12" spans="1:17" ht="15" x14ac:dyDescent="0.3">
      <c r="A12" s="167">
        <v>4</v>
      </c>
      <c r="B12" s="517" t="s">
        <v>772</v>
      </c>
      <c r="C12" s="166"/>
      <c r="D12" s="166"/>
      <c r="E12" s="166"/>
      <c r="F12" s="166"/>
      <c r="G12" s="166">
        <v>115.21</v>
      </c>
      <c r="H12" s="166"/>
      <c r="I12" s="1165">
        <f>134.35+5.58+3.23+104.55</f>
        <v>247.70999999999998</v>
      </c>
      <c r="J12" s="1171"/>
      <c r="K12" s="1173">
        <f>150.03+5.81+3.06+43.9</f>
        <v>202.8</v>
      </c>
      <c r="L12" s="1168"/>
      <c r="M12" s="1180">
        <f>'[30]2.17 to 2.27'!$C$186</f>
        <v>241.21168239000002</v>
      </c>
      <c r="N12" s="1171"/>
      <c r="O12" s="1181">
        <f>'[31]chapter-4'!$O$69</f>
        <v>414.91453171699982</v>
      </c>
      <c r="P12" s="1171"/>
      <c r="Q12" s="1181">
        <f>'[31]chapter-4'!$P$69</f>
        <v>434.91453171699982</v>
      </c>
    </row>
    <row r="13" spans="1:17" x14ac:dyDescent="0.2">
      <c r="A13" s="167"/>
      <c r="B13" s="518"/>
      <c r="C13" s="166"/>
      <c r="D13" s="64"/>
      <c r="E13" s="166"/>
      <c r="F13" s="64"/>
      <c r="G13" s="166"/>
      <c r="H13" s="64"/>
      <c r="I13" s="1164"/>
      <c r="J13" s="1171"/>
      <c r="K13" s="1174"/>
      <c r="L13" s="1168"/>
      <c r="M13" s="1179"/>
      <c r="N13" s="1171"/>
      <c r="O13" s="1174"/>
      <c r="P13" s="1171"/>
      <c r="Q13" s="1174"/>
    </row>
    <row r="14" spans="1:17" x14ac:dyDescent="0.2">
      <c r="A14" s="167"/>
      <c r="B14" s="518"/>
      <c r="C14" s="166"/>
      <c r="D14" s="64"/>
      <c r="E14" s="166"/>
      <c r="F14" s="64"/>
      <c r="G14" s="166"/>
      <c r="H14" s="64"/>
      <c r="I14" s="1164"/>
      <c r="J14" s="1171"/>
      <c r="K14" s="1174"/>
      <c r="L14" s="1168"/>
      <c r="M14" s="1179"/>
      <c r="N14" s="1171"/>
      <c r="O14" s="1174"/>
      <c r="P14" s="1171"/>
      <c r="Q14" s="1174"/>
    </row>
    <row r="15" spans="1:17" ht="13.5" thickBot="1" x14ac:dyDescent="0.25">
      <c r="A15" s="168"/>
      <c r="B15" s="519"/>
      <c r="C15" s="64"/>
      <c r="D15" s="64"/>
      <c r="E15" s="64"/>
      <c r="F15" s="64"/>
      <c r="G15" s="64"/>
      <c r="H15" s="64"/>
      <c r="I15" s="1166"/>
      <c r="J15" s="1175"/>
      <c r="K15" s="1176"/>
      <c r="L15" s="1169"/>
      <c r="M15" s="1166"/>
      <c r="N15" s="1175"/>
      <c r="O15" s="1176"/>
      <c r="P15" s="1175"/>
      <c r="Q15" s="1176"/>
    </row>
    <row r="16" spans="1:17" ht="13.5" thickBot="1" x14ac:dyDescent="0.25">
      <c r="A16" s="169"/>
      <c r="B16" s="170" t="s">
        <v>431</v>
      </c>
      <c r="C16" s="521">
        <f t="shared" ref="C16:H16" si="0">SUM(C9:C14)</f>
        <v>0</v>
      </c>
      <c r="D16" s="521">
        <f t="shared" si="0"/>
        <v>0</v>
      </c>
      <c r="E16" s="521">
        <v>2059.7542616000001</v>
      </c>
      <c r="F16" s="521">
        <f t="shared" si="0"/>
        <v>0</v>
      </c>
      <c r="G16" s="521">
        <f>+G9-G12</f>
        <v>2416.86</v>
      </c>
      <c r="H16" s="521">
        <f t="shared" si="0"/>
        <v>0</v>
      </c>
      <c r="I16" s="1167">
        <v>2956.22</v>
      </c>
      <c r="J16" s="1177">
        <f>SUM(J9:J14)</f>
        <v>0</v>
      </c>
      <c r="K16" s="1178">
        <v>3450.03</v>
      </c>
      <c r="L16" s="1170"/>
      <c r="M16" s="1167">
        <f>'[30]2.17 to 2.27'!$C$188</f>
        <v>3844.9492512219999</v>
      </c>
      <c r="N16" s="1182"/>
      <c r="O16" s="1178">
        <f>'[31]chapter-4'!$O$68</f>
        <v>4259.8690634339991</v>
      </c>
      <c r="P16" s="1182"/>
      <c r="Q16" s="1178">
        <f>'[31]chapter-4'!$P$68</f>
        <v>4694.7835951509987</v>
      </c>
    </row>
    <row r="17" spans="3:17" x14ac:dyDescent="0.2">
      <c r="C17" s="64"/>
      <c r="D17" s="64"/>
      <c r="E17" s="64"/>
      <c r="F17" s="64"/>
      <c r="G17" s="64"/>
      <c r="H17" s="64"/>
      <c r="I17" s="1163"/>
      <c r="J17" s="1163"/>
      <c r="K17" s="1163"/>
      <c r="L17" s="1163"/>
      <c r="M17" s="1163"/>
      <c r="N17" s="1163"/>
      <c r="O17" s="1163"/>
      <c r="P17" s="1163"/>
      <c r="Q17" s="1163"/>
    </row>
    <row r="18" spans="3:17" ht="15" x14ac:dyDescent="0.3">
      <c r="C18" s="76"/>
      <c r="K18" s="1162"/>
    </row>
  </sheetData>
  <customSheetViews>
    <customSheetView guid="{80837D84-6D11-4A5F-87D7-272A542EF21A}" showGridLines="0" showRuler="0" topLeftCell="E1">
      <selection activeCell="P18" sqref="P18"/>
      <pageMargins left="0.75" right="0.75" top="1" bottom="1" header="0.5" footer="0.5"/>
      <printOptions gridLines="1"/>
      <pageSetup orientation="landscape" horizontalDpi="180" verticalDpi="180" r:id="rId1"/>
      <headerFooter alignWithMargins="0"/>
    </customSheetView>
    <customSheetView guid="{5FF41722-DC20-49D9-9ED5-FEC8C9404ECB}" showPageBreaks="1" showGridLines="0" printArea="1" showRuler="0" topLeftCell="E1">
      <selection activeCell="P18" sqref="P18"/>
      <pageMargins left="0.75" right="0.75" top="1" bottom="1" header="0.5" footer="0.5"/>
      <printOptions gridLines="1"/>
      <pageSetup orientation="landscape" horizontalDpi="180" verticalDpi="180" r:id="rId2"/>
      <headerFooter alignWithMargins="0"/>
    </customSheetView>
    <customSheetView guid="{23A957A0-E704-4A72-A26E-A4FA7FC4849F}" showPageBreaks="1" showGridLines="0" printArea="1" showRuler="0" topLeftCell="E1">
      <selection activeCell="P18" sqref="P18"/>
      <pageMargins left="0.75" right="0.75" top="1" bottom="1" header="0.5" footer="0.5"/>
      <printOptions gridLines="1"/>
      <pageSetup orientation="landscape" horizontalDpi="180" verticalDpi="180" r:id="rId3"/>
      <headerFooter alignWithMargins="0"/>
    </customSheetView>
  </customSheetViews>
  <mergeCells count="9">
    <mergeCell ref="P7:Q7"/>
    <mergeCell ref="N7:O7"/>
    <mergeCell ref="H7:I7"/>
    <mergeCell ref="F7:G7"/>
    <mergeCell ref="A7:A8"/>
    <mergeCell ref="B7:B8"/>
    <mergeCell ref="D7:E7"/>
    <mergeCell ref="J7:K7"/>
    <mergeCell ref="L7:M7"/>
  </mergeCells>
  <phoneticPr fontId="0" type="noConversion"/>
  <printOptions horizontalCentered="1" gridLines="1"/>
  <pageMargins left="0.75" right="0.75" top="1" bottom="1" header="0.5" footer="0.5"/>
  <pageSetup paperSize="9" orientation="landscape" r:id="rId4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X32"/>
  <sheetViews>
    <sheetView showGridLines="0" zoomScale="140" zoomScaleNormal="140" workbookViewId="0">
      <pane xSplit="2" ySplit="8" topLeftCell="K14" activePane="bottomRight" state="frozen"/>
      <selection pane="topRight" activeCell="C1" sqref="C1"/>
      <selection pane="bottomLeft" activeCell="A13" sqref="A13"/>
      <selection pane="bottomRight" activeCell="A2" sqref="A2:X25"/>
    </sheetView>
  </sheetViews>
  <sheetFormatPr defaultRowHeight="12.75" x14ac:dyDescent="0.2"/>
  <cols>
    <col min="1" max="1" width="7" style="216" customWidth="1"/>
    <col min="2" max="2" width="25.5703125" style="216" customWidth="1"/>
    <col min="3" max="6" width="9.140625" style="216" hidden="1" customWidth="1"/>
    <col min="7" max="8" width="0" style="216" hidden="1" customWidth="1"/>
    <col min="9" max="9" width="10.140625" style="216" bestFit="1" customWidth="1"/>
    <col min="10" max="10" width="9.140625" style="216"/>
    <col min="11" max="11" width="0" style="216" hidden="1" customWidth="1"/>
    <col min="12" max="12" width="10.140625" style="216" hidden="1" customWidth="1"/>
    <col min="13" max="13" width="16.140625" style="1072" hidden="1" customWidth="1"/>
    <col min="14" max="14" width="9.140625" style="1072" hidden="1" customWidth="1"/>
    <col min="15" max="15" width="10.7109375" style="1072" customWidth="1"/>
    <col min="16" max="20" width="9.140625" style="1072"/>
    <col min="21" max="21" width="15.140625" style="1072" customWidth="1"/>
    <col min="22" max="16384" width="9.140625" style="216"/>
  </cols>
  <sheetData>
    <row r="1" spans="1:24" x14ac:dyDescent="0.2">
      <c r="A1" s="214"/>
      <c r="B1" s="214"/>
      <c r="C1" s="214"/>
      <c r="D1" s="214"/>
      <c r="E1" s="269" t="s">
        <v>604</v>
      </c>
      <c r="F1" s="214"/>
    </row>
    <row r="2" spans="1:24" s="214" customFormat="1" x14ac:dyDescent="0.2">
      <c r="A2" s="213" t="s">
        <v>499</v>
      </c>
      <c r="C2" s="215"/>
      <c r="D2" s="215"/>
      <c r="E2" s="215" t="s">
        <v>605</v>
      </c>
      <c r="M2" s="1073"/>
      <c r="N2" s="1073"/>
      <c r="O2" s="1073"/>
      <c r="P2" s="1073"/>
      <c r="Q2" s="1073"/>
      <c r="R2" s="1073"/>
      <c r="S2" s="1073"/>
      <c r="T2" s="1073"/>
      <c r="U2" s="1073"/>
    </row>
    <row r="3" spans="1:24" s="214" customFormat="1" ht="12.75" customHeight="1" thickBot="1" x14ac:dyDescent="0.25">
      <c r="A3" s="215"/>
      <c r="C3" s="217"/>
      <c r="D3" s="217"/>
      <c r="E3" s="213" t="s">
        <v>116</v>
      </c>
      <c r="M3" s="1073"/>
      <c r="N3" s="1073"/>
      <c r="O3" s="1073"/>
      <c r="P3" s="1073"/>
      <c r="Q3" s="1073"/>
      <c r="R3" s="1073"/>
      <c r="S3" s="1073"/>
      <c r="T3" s="1073"/>
      <c r="U3" s="1073"/>
    </row>
    <row r="4" spans="1:24" s="214" customFormat="1" ht="13.5" thickBot="1" x14ac:dyDescent="0.25">
      <c r="B4" s="83" t="s">
        <v>109</v>
      </c>
      <c r="M4" s="1073"/>
      <c r="N4" s="1073"/>
      <c r="O4" s="1073"/>
      <c r="P4" s="1073"/>
      <c r="Q4" s="1073"/>
      <c r="R4" s="1073"/>
      <c r="S4" s="1073"/>
      <c r="T4" s="1073"/>
      <c r="U4" s="1073"/>
      <c r="X4" s="1722" t="s">
        <v>1347</v>
      </c>
    </row>
    <row r="5" spans="1:24" s="214" customFormat="1" ht="13.5" thickBot="1" x14ac:dyDescent="0.25">
      <c r="M5" s="1074"/>
      <c r="N5" s="1074"/>
      <c r="O5" s="1075"/>
      <c r="P5" s="1073"/>
      <c r="Q5" s="1073"/>
      <c r="R5" s="1073"/>
      <c r="S5" s="1073"/>
      <c r="T5" s="1073"/>
      <c r="U5" s="1073"/>
    </row>
    <row r="6" spans="1:24" x14ac:dyDescent="0.2">
      <c r="A6" s="1990" t="s">
        <v>67</v>
      </c>
      <c r="B6" s="1992" t="s">
        <v>483</v>
      </c>
      <c r="C6" s="375"/>
      <c r="D6" s="1979" t="s">
        <v>631</v>
      </c>
      <c r="E6" s="1980"/>
      <c r="F6" s="1980"/>
      <c r="G6" s="1982" t="s">
        <v>763</v>
      </c>
      <c r="H6" s="1983"/>
      <c r="I6" s="1984"/>
      <c r="J6" s="1982" t="s">
        <v>764</v>
      </c>
      <c r="K6" s="1983"/>
      <c r="L6" s="1984"/>
      <c r="M6" s="1973" t="s">
        <v>765</v>
      </c>
      <c r="N6" s="1974"/>
      <c r="O6" s="1975"/>
      <c r="P6" s="1973" t="s">
        <v>875</v>
      </c>
      <c r="Q6" s="1974"/>
      <c r="R6" s="1975"/>
      <c r="S6" s="1973" t="s">
        <v>876</v>
      </c>
      <c r="T6" s="1974"/>
      <c r="U6" s="1975"/>
      <c r="V6" s="1973" t="s">
        <v>877</v>
      </c>
      <c r="W6" s="1974"/>
      <c r="X6" s="1975"/>
    </row>
    <row r="7" spans="1:24" ht="27.75" customHeight="1" x14ac:dyDescent="0.2">
      <c r="A7" s="1991"/>
      <c r="B7" s="1993"/>
      <c r="C7" s="1994" t="s">
        <v>486</v>
      </c>
      <c r="D7" s="1985" t="s">
        <v>259</v>
      </c>
      <c r="E7" s="1909" t="s">
        <v>260</v>
      </c>
      <c r="F7" s="1988" t="s">
        <v>486</v>
      </c>
      <c r="G7" s="1910" t="s">
        <v>259</v>
      </c>
      <c r="H7" s="1907" t="s">
        <v>260</v>
      </c>
      <c r="I7" s="1981" t="s">
        <v>486</v>
      </c>
      <c r="J7" s="1910" t="s">
        <v>259</v>
      </c>
      <c r="K7" s="1907" t="s">
        <v>260</v>
      </c>
      <c r="L7" s="1981" t="s">
        <v>486</v>
      </c>
      <c r="M7" s="1976" t="s">
        <v>259</v>
      </c>
      <c r="N7" s="1977" t="s">
        <v>260</v>
      </c>
      <c r="O7" s="1996" t="s">
        <v>486</v>
      </c>
      <c r="P7" s="1976" t="s">
        <v>259</v>
      </c>
      <c r="Q7" s="1977" t="s">
        <v>260</v>
      </c>
      <c r="R7" s="1996" t="s">
        <v>486</v>
      </c>
      <c r="S7" s="1976" t="s">
        <v>259</v>
      </c>
      <c r="T7" s="1977" t="s">
        <v>260</v>
      </c>
      <c r="U7" s="1978" t="s">
        <v>486</v>
      </c>
      <c r="V7" s="1976" t="s">
        <v>259</v>
      </c>
      <c r="W7" s="1977" t="s">
        <v>260</v>
      </c>
      <c r="X7" s="1978" t="s">
        <v>486</v>
      </c>
    </row>
    <row r="8" spans="1:24" ht="12.75" customHeight="1" x14ac:dyDescent="0.2">
      <c r="A8" s="1991"/>
      <c r="B8" s="1993"/>
      <c r="C8" s="1995"/>
      <c r="D8" s="1986"/>
      <c r="E8" s="1987"/>
      <c r="F8" s="1989"/>
      <c r="G8" s="1910"/>
      <c r="H8" s="1907"/>
      <c r="I8" s="1981"/>
      <c r="J8" s="1910"/>
      <c r="K8" s="1907"/>
      <c r="L8" s="1981"/>
      <c r="M8" s="1976"/>
      <c r="N8" s="1977"/>
      <c r="O8" s="1996"/>
      <c r="P8" s="1976"/>
      <c r="Q8" s="1977"/>
      <c r="R8" s="1996"/>
      <c r="S8" s="1976"/>
      <c r="T8" s="1977"/>
      <c r="U8" s="1978"/>
      <c r="V8" s="1976"/>
      <c r="W8" s="1977"/>
      <c r="X8" s="1978"/>
    </row>
    <row r="9" spans="1:24" ht="27.75" customHeight="1" x14ac:dyDescent="0.2">
      <c r="A9" s="218"/>
      <c r="B9" s="219" t="s">
        <v>509</v>
      </c>
      <c r="C9" s="268"/>
      <c r="D9" s="267"/>
      <c r="E9" s="225"/>
      <c r="F9" s="266"/>
      <c r="G9" s="391"/>
      <c r="H9" s="390"/>
      <c r="I9" s="392"/>
      <c r="J9" s="391"/>
      <c r="K9" s="390"/>
      <c r="L9" s="901"/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</row>
    <row r="10" spans="1:24" ht="12.75" customHeight="1" x14ac:dyDescent="0.2">
      <c r="A10" s="35" t="s">
        <v>81</v>
      </c>
      <c r="B10" s="13" t="s">
        <v>487</v>
      </c>
      <c r="C10" s="210">
        <v>7.26</v>
      </c>
      <c r="D10" s="372">
        <f>'[20]F.A Schedule'!$D$11/10^7</f>
        <v>1.3273500000000001E-2</v>
      </c>
      <c r="E10" s="372">
        <f>'[20]F.A Schedule'!$E$11/10^7</f>
        <v>0</v>
      </c>
      <c r="F10" s="248">
        <f>C10+D10-E10</f>
        <v>7.2732735000000002</v>
      </c>
      <c r="G10" s="500">
        <v>3.25</v>
      </c>
      <c r="H10" s="249">
        <v>0</v>
      </c>
      <c r="I10" s="248">
        <f>F10+G10-H10</f>
        <v>10.5232735</v>
      </c>
      <c r="J10" s="372">
        <v>0.4</v>
      </c>
      <c r="K10" s="249">
        <v>0</v>
      </c>
      <c r="L10" s="861">
        <f t="shared" ref="L10:L24" si="0">I10+J10-K10</f>
        <v>10.923273500000001</v>
      </c>
      <c r="M10" s="1077">
        <v>1.08</v>
      </c>
      <c r="N10" s="1078">
        <v>0</v>
      </c>
      <c r="O10" s="1079">
        <f t="shared" ref="O10:O24" si="1">L10+M10-N10</f>
        <v>12.003273500000001</v>
      </c>
      <c r="P10" s="1077">
        <f>'[30]2.3'!$C$71</f>
        <v>2.618376</v>
      </c>
      <c r="Q10" s="1078">
        <f>'[30]2.3'!$C$72</f>
        <v>0</v>
      </c>
      <c r="R10" s="1079">
        <f t="shared" ref="R10:R24" si="2">O10+P10-Q10</f>
        <v>14.6216495</v>
      </c>
      <c r="S10" s="1077">
        <f>(P10/$P$25)*$S$25</f>
        <v>1.7413157640171995</v>
      </c>
      <c r="T10" s="1078">
        <f>Q10/$Q$25*$T$25</f>
        <v>0</v>
      </c>
      <c r="U10" s="1080">
        <f t="shared" ref="U10:U24" si="3">R10+S10-T10</f>
        <v>16.362965264017198</v>
      </c>
      <c r="V10" s="1077">
        <f t="shared" ref="V10:V23" si="4">(S10/$S$25)*$V$25</f>
        <v>2.4556580709502933</v>
      </c>
      <c r="W10" s="1078">
        <f t="shared" ref="W10:W23" si="5">T10/$T$25*$W$25</f>
        <v>0</v>
      </c>
      <c r="X10" s="1080">
        <f>U10+V10-W10</f>
        <v>18.818623334967491</v>
      </c>
    </row>
    <row r="11" spans="1:24" x14ac:dyDescent="0.2">
      <c r="A11" s="35" t="s">
        <v>82</v>
      </c>
      <c r="B11" s="13" t="s">
        <v>488</v>
      </c>
      <c r="C11" s="210">
        <v>79.356966945296804</v>
      </c>
      <c r="D11" s="372">
        <f>'[20]F.A Schedule'!$D$12/10^7</f>
        <v>27.419940400000002</v>
      </c>
      <c r="E11" s="372">
        <f>'[20]F.A Schedule'!$E$12/10^7</f>
        <v>8.2844000000000008E-3</v>
      </c>
      <c r="F11" s="248">
        <f>C11+D11-E11</f>
        <v>106.76862294529681</v>
      </c>
      <c r="G11" s="500">
        <v>49.188000000000002</v>
      </c>
      <c r="H11" s="249">
        <v>0</v>
      </c>
      <c r="I11" s="861">
        <f>F11+G11-H11</f>
        <v>155.95662294529683</v>
      </c>
      <c r="J11" s="372">
        <v>31.73</v>
      </c>
      <c r="K11" s="249">
        <v>3.99</v>
      </c>
      <c r="L11" s="861">
        <f t="shared" si="0"/>
        <v>183.69662294529681</v>
      </c>
      <c r="M11" s="1077">
        <v>74.150000000000006</v>
      </c>
      <c r="N11" s="1078">
        <v>7.0000000000000007E-2</v>
      </c>
      <c r="O11" s="1079">
        <f t="shared" si="1"/>
        <v>257.77662294529682</v>
      </c>
      <c r="P11" s="1077">
        <f>'[30]2.3'!$D$71</f>
        <v>58.311986724999997</v>
      </c>
      <c r="Q11" s="1078">
        <f>'[30]2.3'!$D$72</f>
        <v>6.1450189999999998E-3</v>
      </c>
      <c r="R11" s="1079">
        <f t="shared" si="2"/>
        <v>316.08246465129685</v>
      </c>
      <c r="S11" s="1077">
        <f t="shared" ref="S11:S24" si="6">(P11/$P$25)*$S$25</f>
        <v>38.779602973524106</v>
      </c>
      <c r="T11" s="1078">
        <f t="shared" ref="T11:T24" si="7">Q11/$Q$25*$T$25</f>
        <v>4.9767043124169068E-3</v>
      </c>
      <c r="U11" s="1080">
        <f t="shared" si="3"/>
        <v>354.85709092050854</v>
      </c>
      <c r="V11" s="1077">
        <f t="shared" si="4"/>
        <v>54.688211637439622</v>
      </c>
      <c r="W11" s="1078">
        <f t="shared" si="5"/>
        <v>5.2389166773221148E-3</v>
      </c>
      <c r="X11" s="1080">
        <f>U11+V11-W11</f>
        <v>409.54006364127082</v>
      </c>
    </row>
    <row r="12" spans="1:24" ht="51.75" customHeight="1" x14ac:dyDescent="0.2">
      <c r="A12" s="36" t="s">
        <v>83</v>
      </c>
      <c r="B12" s="88" t="s">
        <v>147</v>
      </c>
      <c r="C12" s="210">
        <v>1499.2890000000002</v>
      </c>
      <c r="D12" s="372">
        <f>'[20]F.A Schedule'!$D$15/10^7</f>
        <v>613.8953616</v>
      </c>
      <c r="E12" s="372">
        <f>'[20]F.A Schedule'!$E$15/10^7</f>
        <v>126.6646652</v>
      </c>
      <c r="F12" s="248">
        <f>C12+D12-E12</f>
        <v>1986.5196964000002</v>
      </c>
      <c r="G12" s="500">
        <v>454.37</v>
      </c>
      <c r="H12" s="249">
        <v>143.63</v>
      </c>
      <c r="I12" s="248">
        <f>F12+G12-H12</f>
        <v>2297.2596963999999</v>
      </c>
      <c r="J12" s="372">
        <f>498.15</f>
        <v>498.15</v>
      </c>
      <c r="K12" s="249">
        <f>206.36-65.84</f>
        <v>140.52000000000001</v>
      </c>
      <c r="L12" s="861">
        <f>I12+J12-K12</f>
        <v>2654.8896964</v>
      </c>
      <c r="M12" s="1077">
        <v>612</v>
      </c>
      <c r="N12" s="1078">
        <f>171.91+1.23</f>
        <v>173.14</v>
      </c>
      <c r="O12" s="1079">
        <f t="shared" si="1"/>
        <v>3093.7496964000002</v>
      </c>
      <c r="P12" s="1077">
        <f>'[30]2.3'!$G$71+'[30]2.3'!$M$71</f>
        <v>1024.2416255465</v>
      </c>
      <c r="Q12" s="1078">
        <f>'[30]2.3'!$G$72</f>
        <v>237.01513216717015</v>
      </c>
      <c r="R12" s="1079">
        <f>O12+P12-Q12</f>
        <v>3880.9761897793296</v>
      </c>
      <c r="S12" s="1077">
        <f t="shared" si="6"/>
        <v>681.1581257721283</v>
      </c>
      <c r="T12" s="1078">
        <f t="shared" si="7"/>
        <v>191.95290207636765</v>
      </c>
      <c r="U12" s="1080">
        <f>R12+S12-T12</f>
        <v>4370.1814134750903</v>
      </c>
      <c r="V12" s="1077">
        <f t="shared" si="4"/>
        <v>960.59053947046232</v>
      </c>
      <c r="W12" s="1078">
        <f t="shared" si="5"/>
        <v>202.06650763623236</v>
      </c>
      <c r="X12" s="1080">
        <f>U12+V12-W12</f>
        <v>5128.7054453093206</v>
      </c>
    </row>
    <row r="13" spans="1:24" ht="51" customHeight="1" x14ac:dyDescent="0.2">
      <c r="A13" s="35" t="s">
        <v>61</v>
      </c>
      <c r="B13" s="13" t="s">
        <v>148</v>
      </c>
      <c r="C13" s="210">
        <v>0</v>
      </c>
      <c r="D13" s="372"/>
      <c r="E13" s="372"/>
      <c r="F13" s="248">
        <f t="shared" ref="F13:F24" si="8">C13+D13-E13</f>
        <v>0</v>
      </c>
      <c r="G13" s="500"/>
      <c r="H13" s="249"/>
      <c r="I13" s="248"/>
      <c r="J13" s="372"/>
      <c r="K13" s="249"/>
      <c r="L13" s="861"/>
      <c r="M13" s="1077"/>
      <c r="N13" s="1078">
        <v>0</v>
      </c>
      <c r="O13" s="1079">
        <f t="shared" si="1"/>
        <v>0</v>
      </c>
      <c r="P13" s="1077"/>
      <c r="Q13" s="1078"/>
      <c r="R13" s="1079"/>
      <c r="S13" s="1077">
        <f t="shared" si="6"/>
        <v>0</v>
      </c>
      <c r="T13" s="1078">
        <f t="shared" si="7"/>
        <v>0</v>
      </c>
      <c r="U13" s="1080"/>
      <c r="V13" s="1077">
        <f t="shared" si="4"/>
        <v>0</v>
      </c>
      <c r="W13" s="1078">
        <f t="shared" si="5"/>
        <v>0</v>
      </c>
      <c r="X13" s="1080"/>
    </row>
    <row r="14" spans="1:24" ht="38.25" x14ac:dyDescent="0.2">
      <c r="A14" s="35" t="s">
        <v>62</v>
      </c>
      <c r="B14" s="13" t="s">
        <v>471</v>
      </c>
      <c r="C14" s="210">
        <v>5441.7400000000007</v>
      </c>
      <c r="D14" s="372">
        <f>'[20]F.A Schedule'!$D$16/10^7</f>
        <v>1372.1550342</v>
      </c>
      <c r="E14" s="372">
        <f>'[20]F.A Schedule'!$E$16/10^7</f>
        <v>71.723580799999993</v>
      </c>
      <c r="F14" s="248">
        <f t="shared" si="8"/>
        <v>6742.1714534000012</v>
      </c>
      <c r="G14" s="500">
        <f>1186.01</f>
        <v>1186.01</v>
      </c>
      <c r="H14" s="249">
        <v>55.76</v>
      </c>
      <c r="I14" s="248">
        <f>F14+G14-H14</f>
        <v>7872.4214534000012</v>
      </c>
      <c r="J14" s="862">
        <v>1318.89</v>
      </c>
      <c r="K14" s="863">
        <v>151.61000000000001</v>
      </c>
      <c r="L14" s="861">
        <f t="shared" si="0"/>
        <v>9039.7014534000009</v>
      </c>
      <c r="M14" s="1077">
        <v>2182.92</v>
      </c>
      <c r="N14" s="1078">
        <v>82.04</v>
      </c>
      <c r="O14" s="1079">
        <f t="shared" si="1"/>
        <v>11140.5814534</v>
      </c>
      <c r="P14" s="1077">
        <f>'[30]2.3'!$H$71</f>
        <v>2283.2728397587625</v>
      </c>
      <c r="Q14" s="1078">
        <f>'[30]2.3'!$H$72</f>
        <v>86.964084100301974</v>
      </c>
      <c r="R14" s="1079">
        <f t="shared" si="2"/>
        <v>13336.89020905846</v>
      </c>
      <c r="S14" s="1077">
        <f t="shared" si="6"/>
        <v>1518.4599115727651</v>
      </c>
      <c r="T14" s="1078">
        <f t="shared" si="7"/>
        <v>70.430137379129235</v>
      </c>
      <c r="U14" s="1080">
        <f t="shared" si="3"/>
        <v>14784.919983252095</v>
      </c>
      <c r="V14" s="1077">
        <f t="shared" si="4"/>
        <v>2141.3797625456396</v>
      </c>
      <c r="W14" s="1078">
        <f t="shared" si="5"/>
        <v>74.140957175415565</v>
      </c>
      <c r="X14" s="1080">
        <f t="shared" ref="X14:X24" si="9">U14+V14-W14</f>
        <v>16852.158788622321</v>
      </c>
    </row>
    <row r="15" spans="1:24" x14ac:dyDescent="0.2">
      <c r="A15" s="35">
        <v>6</v>
      </c>
      <c r="B15" s="13" t="s">
        <v>313</v>
      </c>
      <c r="C15" s="210">
        <v>0</v>
      </c>
      <c r="D15" s="372"/>
      <c r="E15" s="372"/>
      <c r="F15" s="248">
        <f t="shared" si="8"/>
        <v>0</v>
      </c>
      <c r="G15" s="500"/>
      <c r="H15" s="249"/>
      <c r="I15" s="248">
        <f t="shared" ref="I15:I22" si="10">F15+G15-H15</f>
        <v>0</v>
      </c>
      <c r="J15" s="372"/>
      <c r="K15" s="249"/>
      <c r="L15" s="861">
        <f t="shared" si="0"/>
        <v>0</v>
      </c>
      <c r="M15" s="1077"/>
      <c r="N15" s="1078">
        <v>0</v>
      </c>
      <c r="O15" s="1079">
        <f t="shared" si="1"/>
        <v>0</v>
      </c>
      <c r="P15" s="1077"/>
      <c r="Q15" s="1078"/>
      <c r="R15" s="1079">
        <f t="shared" si="2"/>
        <v>0</v>
      </c>
      <c r="S15" s="1077">
        <f t="shared" si="6"/>
        <v>0</v>
      </c>
      <c r="T15" s="1078">
        <f t="shared" si="7"/>
        <v>0</v>
      </c>
      <c r="U15" s="1080">
        <f t="shared" si="3"/>
        <v>0</v>
      </c>
      <c r="V15" s="1077">
        <f t="shared" si="4"/>
        <v>0</v>
      </c>
      <c r="W15" s="1078">
        <f t="shared" si="5"/>
        <v>0</v>
      </c>
      <c r="X15" s="1080">
        <f t="shared" si="9"/>
        <v>0</v>
      </c>
    </row>
    <row r="16" spans="1:24" x14ac:dyDescent="0.2">
      <c r="A16" s="35">
        <v>7</v>
      </c>
      <c r="B16" s="13" t="s">
        <v>314</v>
      </c>
      <c r="C16" s="210">
        <v>0</v>
      </c>
      <c r="D16" s="372"/>
      <c r="E16" s="372"/>
      <c r="F16" s="248">
        <f t="shared" si="8"/>
        <v>0</v>
      </c>
      <c r="G16" s="500"/>
      <c r="H16" s="249"/>
      <c r="I16" s="248">
        <f t="shared" si="10"/>
        <v>0</v>
      </c>
      <c r="J16" s="372"/>
      <c r="K16" s="249"/>
      <c r="L16" s="861">
        <f t="shared" si="0"/>
        <v>0</v>
      </c>
      <c r="M16" s="1077"/>
      <c r="N16" s="1078">
        <v>0</v>
      </c>
      <c r="O16" s="1079">
        <f t="shared" si="1"/>
        <v>0</v>
      </c>
      <c r="P16" s="1077"/>
      <c r="Q16" s="1078"/>
      <c r="R16" s="1079">
        <f t="shared" si="2"/>
        <v>0</v>
      </c>
      <c r="S16" s="1077">
        <f t="shared" si="6"/>
        <v>0</v>
      </c>
      <c r="T16" s="1078">
        <f t="shared" si="7"/>
        <v>0</v>
      </c>
      <c r="U16" s="1080">
        <f t="shared" si="3"/>
        <v>0</v>
      </c>
      <c r="V16" s="1077">
        <f t="shared" si="4"/>
        <v>0</v>
      </c>
      <c r="W16" s="1078">
        <f t="shared" si="5"/>
        <v>0</v>
      </c>
      <c r="X16" s="1080">
        <f t="shared" si="9"/>
        <v>0</v>
      </c>
    </row>
    <row r="17" spans="1:24" x14ac:dyDescent="0.2">
      <c r="A17" s="35">
        <v>8</v>
      </c>
      <c r="B17" s="13" t="s">
        <v>564</v>
      </c>
      <c r="C17" s="210">
        <v>0</v>
      </c>
      <c r="D17" s="372"/>
      <c r="E17" s="372"/>
      <c r="F17" s="248">
        <f t="shared" si="8"/>
        <v>0</v>
      </c>
      <c r="G17" s="500"/>
      <c r="H17" s="249"/>
      <c r="I17" s="248">
        <f t="shared" si="10"/>
        <v>0</v>
      </c>
      <c r="J17" s="372"/>
      <c r="K17" s="249"/>
      <c r="L17" s="861">
        <f t="shared" si="0"/>
        <v>0</v>
      </c>
      <c r="M17" s="1077"/>
      <c r="N17" s="1078">
        <v>0</v>
      </c>
      <c r="O17" s="1079">
        <f t="shared" si="1"/>
        <v>0</v>
      </c>
      <c r="P17" s="1077"/>
      <c r="Q17" s="1078"/>
      <c r="R17" s="1079">
        <f t="shared" si="2"/>
        <v>0</v>
      </c>
      <c r="S17" s="1077">
        <f t="shared" si="6"/>
        <v>0</v>
      </c>
      <c r="T17" s="1078">
        <f t="shared" si="7"/>
        <v>0</v>
      </c>
      <c r="U17" s="1080">
        <f t="shared" si="3"/>
        <v>0</v>
      </c>
      <c r="V17" s="1077">
        <f t="shared" si="4"/>
        <v>0</v>
      </c>
      <c r="W17" s="1078">
        <f t="shared" si="5"/>
        <v>0</v>
      </c>
      <c r="X17" s="1080">
        <f t="shared" si="9"/>
        <v>0</v>
      </c>
    </row>
    <row r="18" spans="1:24" x14ac:dyDescent="0.2">
      <c r="A18" s="35">
        <v>9</v>
      </c>
      <c r="B18" s="13" t="s">
        <v>565</v>
      </c>
      <c r="C18" s="210">
        <v>0</v>
      </c>
      <c r="D18" s="372"/>
      <c r="E18" s="372"/>
      <c r="F18" s="248">
        <f t="shared" si="8"/>
        <v>0</v>
      </c>
      <c r="G18" s="500"/>
      <c r="H18" s="249"/>
      <c r="I18" s="248">
        <f t="shared" si="10"/>
        <v>0</v>
      </c>
      <c r="J18" s="372"/>
      <c r="K18" s="249"/>
      <c r="L18" s="861">
        <f t="shared" si="0"/>
        <v>0</v>
      </c>
      <c r="M18" s="1077"/>
      <c r="N18" s="1078">
        <v>0</v>
      </c>
      <c r="O18" s="1079">
        <f t="shared" si="1"/>
        <v>0</v>
      </c>
      <c r="P18" s="1077"/>
      <c r="Q18" s="1078"/>
      <c r="R18" s="1079">
        <f t="shared" si="2"/>
        <v>0</v>
      </c>
      <c r="S18" s="1077">
        <f t="shared" si="6"/>
        <v>0</v>
      </c>
      <c r="T18" s="1078">
        <f t="shared" si="7"/>
        <v>0</v>
      </c>
      <c r="U18" s="1080">
        <f t="shared" si="3"/>
        <v>0</v>
      </c>
      <c r="V18" s="1077">
        <f t="shared" si="4"/>
        <v>0</v>
      </c>
      <c r="W18" s="1078">
        <f t="shared" si="5"/>
        <v>0</v>
      </c>
      <c r="X18" s="1080">
        <f t="shared" si="9"/>
        <v>0</v>
      </c>
    </row>
    <row r="19" spans="1:24" ht="15" customHeight="1" x14ac:dyDescent="0.2">
      <c r="A19" s="35" t="s">
        <v>402</v>
      </c>
      <c r="B19" s="220" t="s">
        <v>84</v>
      </c>
      <c r="C19" s="210">
        <v>3.3800000000000008</v>
      </c>
      <c r="D19" s="372">
        <f>'[20]F.A Schedule'!$D$13/10^7</f>
        <v>0.68641350000000001</v>
      </c>
      <c r="E19" s="372">
        <f>'[20]F.A Schedule'!$E$13/10^7</f>
        <v>0</v>
      </c>
      <c r="F19" s="248">
        <f t="shared" si="8"/>
        <v>4.0664135000000012</v>
      </c>
      <c r="G19" s="500">
        <v>0.76</v>
      </c>
      <c r="H19" s="249">
        <v>0</v>
      </c>
      <c r="I19" s="248">
        <f t="shared" si="10"/>
        <v>4.826413500000001</v>
      </c>
      <c r="J19" s="372">
        <v>0.34</v>
      </c>
      <c r="K19" s="249">
        <v>0</v>
      </c>
      <c r="L19" s="861">
        <f t="shared" si="0"/>
        <v>5.1664135000000009</v>
      </c>
      <c r="M19" s="1077">
        <v>0.48</v>
      </c>
      <c r="N19" s="1078">
        <v>0</v>
      </c>
      <c r="O19" s="1079">
        <f t="shared" si="1"/>
        <v>5.6464135000000013</v>
      </c>
      <c r="P19" s="1077">
        <f>'[30]2.3'!$E$71</f>
        <v>1.6216609</v>
      </c>
      <c r="Q19" s="1078">
        <f>'[30]2.3'!$E$72</f>
        <v>0</v>
      </c>
      <c r="R19" s="1079">
        <f t="shared" si="2"/>
        <v>7.2680744000000015</v>
      </c>
      <c r="S19" s="1077">
        <f t="shared" si="6"/>
        <v>1.0784637840632205</v>
      </c>
      <c r="T19" s="1078">
        <f t="shared" si="7"/>
        <v>0</v>
      </c>
      <c r="U19" s="1080">
        <f t="shared" si="3"/>
        <v>8.3465381840632222</v>
      </c>
      <c r="V19" s="1077">
        <f t="shared" si="4"/>
        <v>1.5208834321081144</v>
      </c>
      <c r="W19" s="1078">
        <f t="shared" si="5"/>
        <v>0</v>
      </c>
      <c r="X19" s="1080">
        <f t="shared" si="9"/>
        <v>9.8674216161713364</v>
      </c>
    </row>
    <row r="20" spans="1:24" x14ac:dyDescent="0.2">
      <c r="A20" s="35" t="s">
        <v>404</v>
      </c>
      <c r="B20" s="220" t="s">
        <v>547</v>
      </c>
      <c r="C20" s="210">
        <v>0.81</v>
      </c>
      <c r="D20" s="372">
        <f>'[20]F.A Schedule'!$D$14/10^7</f>
        <v>0.7979636</v>
      </c>
      <c r="E20" s="372">
        <f>'[20]F.A Schedule'!$E$14/10^7</f>
        <v>0</v>
      </c>
      <c r="F20" s="248">
        <f t="shared" si="8"/>
        <v>1.6079636000000002</v>
      </c>
      <c r="G20" s="500">
        <v>0.3</v>
      </c>
      <c r="H20" s="249">
        <v>0</v>
      </c>
      <c r="I20" s="248">
        <f t="shared" si="10"/>
        <v>1.9079636000000002</v>
      </c>
      <c r="J20" s="372">
        <v>1</v>
      </c>
      <c r="K20" s="249">
        <v>0</v>
      </c>
      <c r="L20" s="861">
        <f t="shared" si="0"/>
        <v>2.9079636000000004</v>
      </c>
      <c r="M20" s="1077">
        <v>1.45</v>
      </c>
      <c r="N20" s="1078">
        <v>0</v>
      </c>
      <c r="O20" s="1079">
        <f t="shared" si="1"/>
        <v>4.3579636000000006</v>
      </c>
      <c r="P20" s="1077">
        <f>'[30]2.3'!$F$71</f>
        <v>0.6858862</v>
      </c>
      <c r="Q20" s="1078">
        <f>'[30]2.3'!$F$72</f>
        <v>0</v>
      </c>
      <c r="R20" s="1079">
        <f t="shared" si="2"/>
        <v>5.0438498000000003</v>
      </c>
      <c r="S20" s="1077">
        <f t="shared" si="6"/>
        <v>0.45613939800160624</v>
      </c>
      <c r="T20" s="1078">
        <f t="shared" si="7"/>
        <v>0</v>
      </c>
      <c r="U20" s="1080">
        <f t="shared" si="3"/>
        <v>5.4999891980016065</v>
      </c>
      <c r="V20" s="1077">
        <f t="shared" si="4"/>
        <v>0.64326207648688627</v>
      </c>
      <c r="W20" s="1078">
        <f t="shared" si="5"/>
        <v>0</v>
      </c>
      <c r="X20" s="1080">
        <f t="shared" si="9"/>
        <v>6.1432512744884926</v>
      </c>
    </row>
    <row r="21" spans="1:24" ht="12" customHeight="1" x14ac:dyDescent="0.2">
      <c r="A21" s="35" t="s">
        <v>406</v>
      </c>
      <c r="B21" s="220" t="s">
        <v>74</v>
      </c>
      <c r="C21" s="210">
        <v>18.68</v>
      </c>
      <c r="D21" s="372">
        <f>'[20]F.A Schedule'!$D$17/10^7</f>
        <v>6.1157601000000001</v>
      </c>
      <c r="E21" s="372">
        <f>'[20]F.A Schedule'!$E$17/10^7</f>
        <v>0.34252339999999998</v>
      </c>
      <c r="F21" s="248">
        <f t="shared" si="8"/>
        <v>24.453236699999998</v>
      </c>
      <c r="G21" s="500">
        <v>1.26</v>
      </c>
      <c r="H21" s="249">
        <v>0.23</v>
      </c>
      <c r="I21" s="248">
        <f t="shared" si="10"/>
        <v>25.483236699999999</v>
      </c>
      <c r="J21" s="372">
        <v>0</v>
      </c>
      <c r="K21" s="249">
        <v>0.05</v>
      </c>
      <c r="L21" s="861">
        <f t="shared" si="0"/>
        <v>25.433236699999998</v>
      </c>
      <c r="M21" s="1077">
        <v>8.6300000000000008</v>
      </c>
      <c r="N21" s="1078">
        <v>0.14000000000000001</v>
      </c>
      <c r="O21" s="1079">
        <f t="shared" si="1"/>
        <v>33.923236699999997</v>
      </c>
      <c r="P21" s="1077">
        <f>'[30]2.3'!$I$71</f>
        <v>1.2585123030000001</v>
      </c>
      <c r="Q21" s="1078">
        <f>'[30]2.3'!$I$72</f>
        <v>0.86947729200000001</v>
      </c>
      <c r="R21" s="1079">
        <f t="shared" si="2"/>
        <v>34.312271711000001</v>
      </c>
      <c r="S21" s="1077">
        <f t="shared" si="6"/>
        <v>0.83695669087384339</v>
      </c>
      <c r="T21" s="1078">
        <f t="shared" si="7"/>
        <v>0.70416891935484238</v>
      </c>
      <c r="U21" s="1080">
        <f t="shared" si="3"/>
        <v>34.445059482519</v>
      </c>
      <c r="V21" s="1077">
        <f t="shared" si="4"/>
        <v>1.1803025593926126</v>
      </c>
      <c r="W21" s="1078">
        <f t="shared" si="5"/>
        <v>0.74127013856453006</v>
      </c>
      <c r="X21" s="1080">
        <f t="shared" si="9"/>
        <v>34.884091903347084</v>
      </c>
    </row>
    <row r="22" spans="1:24" x14ac:dyDescent="0.2">
      <c r="A22" s="35" t="s">
        <v>408</v>
      </c>
      <c r="B22" s="220" t="s">
        <v>548</v>
      </c>
      <c r="C22" s="210">
        <v>11.64</v>
      </c>
      <c r="D22" s="372">
        <f>'[20]F.A Schedule'!$D$18/10^7</f>
        <v>2.0117449999999999</v>
      </c>
      <c r="E22" s="372">
        <f>'[20]F.A Schedule'!$E$18/10^7</f>
        <v>2.7678000000000001E-2</v>
      </c>
      <c r="F22" s="248">
        <f t="shared" si="8"/>
        <v>13.624067</v>
      </c>
      <c r="G22" s="500">
        <v>1.49</v>
      </c>
      <c r="H22" s="249">
        <v>0.1</v>
      </c>
      <c r="I22" s="248">
        <f t="shared" si="10"/>
        <v>15.014067000000001</v>
      </c>
      <c r="J22" s="372">
        <v>2.34</v>
      </c>
      <c r="K22" s="249">
        <v>0.14000000000000001</v>
      </c>
      <c r="L22" s="861">
        <f t="shared" si="0"/>
        <v>17.214067</v>
      </c>
      <c r="M22" s="1077">
        <v>2.5499999999999998</v>
      </c>
      <c r="N22" s="1078">
        <v>0.21</v>
      </c>
      <c r="O22" s="1079">
        <f t="shared" si="1"/>
        <v>19.554067</v>
      </c>
      <c r="P22" s="1077">
        <f>'[30]2.3'!$J$71</f>
        <v>1.4741119810000001</v>
      </c>
      <c r="Q22" s="1078">
        <f>'[30]2.3'!$J$72</f>
        <v>0.47894137536379994</v>
      </c>
      <c r="R22" s="1079">
        <f t="shared" si="2"/>
        <v>20.5492376056362</v>
      </c>
      <c r="S22" s="1077">
        <f t="shared" si="6"/>
        <v>0.98033835875440456</v>
      </c>
      <c r="T22" s="1078">
        <f t="shared" si="7"/>
        <v>0.38788319583192626</v>
      </c>
      <c r="U22" s="1080">
        <f t="shared" si="3"/>
        <v>21.141692768558681</v>
      </c>
      <c r="V22" s="1077">
        <f t="shared" si="4"/>
        <v>1.3825038816530459</v>
      </c>
      <c r="W22" s="1078">
        <f t="shared" si="5"/>
        <v>0.40831996757910799</v>
      </c>
      <c r="X22" s="1080">
        <f t="shared" si="9"/>
        <v>22.115876682632621</v>
      </c>
    </row>
    <row r="23" spans="1:24" x14ac:dyDescent="0.2">
      <c r="A23" s="35" t="s">
        <v>382</v>
      </c>
      <c r="B23" s="220" t="s">
        <v>27</v>
      </c>
      <c r="C23" s="210">
        <v>11.932966881811449</v>
      </c>
      <c r="D23" s="372">
        <f>'[20]F.A Schedule'!$D$19/10^7</f>
        <v>2.1935636999999999</v>
      </c>
      <c r="E23" s="372">
        <f>'[20]F.A Schedule'!$E$19/10^7</f>
        <v>0.13804079999999999</v>
      </c>
      <c r="F23" s="248">
        <f t="shared" si="8"/>
        <v>13.988489781811449</v>
      </c>
      <c r="G23" s="500">
        <v>0.54</v>
      </c>
      <c r="H23" s="249">
        <v>0.08</v>
      </c>
      <c r="I23" s="248">
        <f>F23+G23-H23-0.01</f>
        <v>14.438489781811448</v>
      </c>
      <c r="J23" s="372">
        <v>1.37</v>
      </c>
      <c r="K23" s="249">
        <v>0.1</v>
      </c>
      <c r="L23" s="861">
        <f t="shared" si="0"/>
        <v>15.70848978181145</v>
      </c>
      <c r="M23" s="1077">
        <v>3.25</v>
      </c>
      <c r="N23" s="1078">
        <v>0.25</v>
      </c>
      <c r="O23" s="1079">
        <f t="shared" si="1"/>
        <v>18.708489781811451</v>
      </c>
      <c r="P23" s="1077">
        <f>'[30]2.3'!$K$71</f>
        <v>1.2528917920000002</v>
      </c>
      <c r="Q23" s="1078">
        <f>'[30]2.3'!$K$72</f>
        <v>0.24760034788299995</v>
      </c>
      <c r="R23" s="1079">
        <f t="shared" si="2"/>
        <v>19.71378122592845</v>
      </c>
      <c r="S23" s="1077">
        <f t="shared" si="6"/>
        <v>0.83321884558113835</v>
      </c>
      <c r="T23" s="1078">
        <f t="shared" si="7"/>
        <v>0.20052561579797432</v>
      </c>
      <c r="U23" s="1080">
        <f t="shared" si="3"/>
        <v>20.346474455711615</v>
      </c>
      <c r="V23" s="1077">
        <f t="shared" si="4"/>
        <v>1.175031332800246</v>
      </c>
      <c r="W23" s="1078">
        <f t="shared" si="5"/>
        <v>0.21109090009892661</v>
      </c>
      <c r="X23" s="1080">
        <f t="shared" si="9"/>
        <v>21.310414888412932</v>
      </c>
    </row>
    <row r="24" spans="1:24" ht="13.5" thickBot="1" x14ac:dyDescent="0.25">
      <c r="A24" s="10" t="s">
        <v>384</v>
      </c>
      <c r="B24" s="397" t="s">
        <v>719</v>
      </c>
      <c r="C24" s="398">
        <v>2.33</v>
      </c>
      <c r="D24" s="399">
        <f>2.83+2.84</f>
        <v>5.67</v>
      </c>
      <c r="E24" s="175"/>
      <c r="F24" s="248">
        <f t="shared" si="8"/>
        <v>8</v>
      </c>
      <c r="G24" s="501">
        <v>1.23</v>
      </c>
      <c r="H24" s="400"/>
      <c r="I24" s="248">
        <f>F24+G24-H24</f>
        <v>9.23</v>
      </c>
      <c r="J24" s="498">
        <f>148.09+9.41</f>
        <v>157.5</v>
      </c>
      <c r="K24" s="249">
        <v>0</v>
      </c>
      <c r="L24" s="861">
        <f t="shared" si="0"/>
        <v>166.73</v>
      </c>
      <c r="M24" s="1077">
        <v>23.16</v>
      </c>
      <c r="N24" s="1078">
        <v>0.05</v>
      </c>
      <c r="O24" s="1079">
        <f t="shared" si="1"/>
        <v>189.83999999999997</v>
      </c>
      <c r="P24" s="1077">
        <f>'[30]2.3'!$Q$71</f>
        <v>16.135665599999999</v>
      </c>
      <c r="Q24" s="1078">
        <f>'[30]2.3'!$Q$72</f>
        <v>7.8511034000000004</v>
      </c>
      <c r="R24" s="1079">
        <f t="shared" si="2"/>
        <v>198.12456219999999</v>
      </c>
      <c r="S24" s="1077">
        <f t="shared" si="6"/>
        <v>10.730807520459264</v>
      </c>
      <c r="T24" s="1078">
        <f t="shared" si="7"/>
        <v>6.3584213731497075</v>
      </c>
      <c r="U24" s="1080">
        <f t="shared" si="3"/>
        <v>202.49694834730954</v>
      </c>
      <c r="V24" s="1077">
        <f>(S24/$S$25)*$V$25</f>
        <v>15.13292111629308</v>
      </c>
      <c r="W24" s="1078">
        <f>T24/$T$25*$W$25</f>
        <v>6.6934335821647366</v>
      </c>
      <c r="X24" s="1080">
        <f t="shared" si="9"/>
        <v>210.93643588143789</v>
      </c>
    </row>
    <row r="25" spans="1:24" ht="13.5" thickBot="1" x14ac:dyDescent="0.25">
      <c r="A25" s="401"/>
      <c r="B25" s="402" t="s">
        <v>509</v>
      </c>
      <c r="C25" s="403">
        <f>SUM(C10:C23)</f>
        <v>7074.0889338271108</v>
      </c>
      <c r="D25" s="403">
        <f>SUM(D10:D23)</f>
        <v>2025.2890556000002</v>
      </c>
      <c r="E25" s="403">
        <f>SUM(E10:E23)</f>
        <v>198.9047726</v>
      </c>
      <c r="F25" s="403">
        <f>SUM(F10:F23)</f>
        <v>8900.4732168271112</v>
      </c>
      <c r="G25" s="502">
        <f t="shared" ref="G25:L25" si="11">SUM(G10:G24)</f>
        <v>1698.3979999999999</v>
      </c>
      <c r="H25" s="499">
        <f t="shared" si="11"/>
        <v>199.79999999999998</v>
      </c>
      <c r="I25" s="499">
        <f t="shared" si="11"/>
        <v>10407.061216827109</v>
      </c>
      <c r="J25" s="499">
        <f t="shared" si="11"/>
        <v>2011.7199999999998</v>
      </c>
      <c r="K25" s="504">
        <f t="shared" si="11"/>
        <v>296.41000000000003</v>
      </c>
      <c r="L25" s="902">
        <f t="shared" si="11"/>
        <v>12122.37121682711</v>
      </c>
      <c r="M25" s="1081">
        <f>SUM(M10:M24)</f>
        <v>2909.67</v>
      </c>
      <c r="N25" s="1081">
        <f>SUM(N10:N24)</f>
        <v>255.9</v>
      </c>
      <c r="O25" s="1081">
        <f>SUM(O10:O24)</f>
        <v>14776.141216827107</v>
      </c>
      <c r="P25" s="1081">
        <f>SUM(P10:P24)</f>
        <v>3390.8735568062616</v>
      </c>
      <c r="Q25" s="1081">
        <f>SUM(Q10:Q24)</f>
        <v>333.43248370171892</v>
      </c>
      <c r="R25" s="1083">
        <f>O25+P25-Q25</f>
        <v>17833.582289931648</v>
      </c>
      <c r="S25" s="1082">
        <f>'[31]chapter-4'!$C$58</f>
        <v>2255.0548806801676</v>
      </c>
      <c r="T25" s="1082">
        <f>'[31]chapter-4'!$C$59</f>
        <v>270.03901526394378</v>
      </c>
      <c r="U25" s="1083">
        <f>R25+S25-T25</f>
        <v>19818.59815534787</v>
      </c>
      <c r="V25" s="1082">
        <f>'[31]chapter-4'!$D$58</f>
        <v>3180.1490761232249</v>
      </c>
      <c r="W25" s="1082">
        <f>'[31]chapter-4'!$D$59</f>
        <v>284.26681831673255</v>
      </c>
      <c r="X25" s="1083">
        <f>U25+V25-W25</f>
        <v>22714.480413154361</v>
      </c>
    </row>
    <row r="26" spans="1:24" x14ac:dyDescent="0.2">
      <c r="B26" s="497"/>
      <c r="G26" s="497"/>
      <c r="I26" s="497"/>
      <c r="L26" s="1194">
        <f>11889.8+166.72</f>
        <v>12056.519999999999</v>
      </c>
      <c r="M26" s="1086"/>
      <c r="N26" s="1086">
        <f>M25-N25</f>
        <v>2653.77</v>
      </c>
      <c r="O26" s="1084"/>
    </row>
    <row r="27" spans="1:24" x14ac:dyDescent="0.2">
      <c r="N27" s="1072">
        <f>'D-16'!S25</f>
        <v>2630.66</v>
      </c>
      <c r="O27" s="1085"/>
      <c r="R27" s="1072">
        <v>17833.582289931648</v>
      </c>
      <c r="S27" s="1072">
        <v>2255.0548806801676</v>
      </c>
      <c r="T27" s="1072">
        <v>270.03901526394378</v>
      </c>
      <c r="U27" s="1084">
        <v>19818.59815534787</v>
      </c>
      <c r="V27" s="216">
        <v>2971.4723382965649</v>
      </c>
      <c r="W27" s="216">
        <v>284.26681831673255</v>
      </c>
      <c r="X27" s="216">
        <v>22505.803675327701</v>
      </c>
    </row>
    <row r="28" spans="1:24" x14ac:dyDescent="0.2">
      <c r="I28" s="497"/>
      <c r="L28" s="497"/>
      <c r="N28" s="1086">
        <f>N26-N27</f>
        <v>23.110000000000127</v>
      </c>
      <c r="O28" s="1084">
        <f>14586.3+189.84</f>
        <v>14776.14</v>
      </c>
      <c r="U28" s="1084"/>
      <c r="V28" s="497">
        <f>V25-V27</f>
        <v>208.67673782665997</v>
      </c>
    </row>
    <row r="29" spans="1:24" x14ac:dyDescent="0.2">
      <c r="O29" s="1084"/>
      <c r="R29" s="1087"/>
    </row>
    <row r="30" spans="1:24" x14ac:dyDescent="0.2">
      <c r="Q30" s="1072">
        <f>14586.3+189.84</f>
        <v>14776.14</v>
      </c>
    </row>
    <row r="31" spans="1:24" x14ac:dyDescent="0.2">
      <c r="K31" s="497"/>
      <c r="Q31" s="1072">
        <v>64.59</v>
      </c>
    </row>
    <row r="32" spans="1:24" x14ac:dyDescent="0.2">
      <c r="K32" s="497"/>
      <c r="N32" s="1086"/>
      <c r="Q32" s="1072">
        <f>Q30-Q31</f>
        <v>14711.55</v>
      </c>
    </row>
  </sheetData>
  <customSheetViews>
    <customSheetView guid="{80837D84-6D11-4A5F-87D7-272A542EF21A}" showGridLines="0" fitToPage="1" showRuler="0" topLeftCell="A10">
      <selection activeCell="K29" sqref="K29"/>
      <pageMargins left="0.75" right="0.75" top="1" bottom="1" header="0.5" footer="0.5"/>
      <printOptions gridLines="1"/>
      <pageSetup orientation="landscape" horizontalDpi="180" verticalDpi="180" r:id="rId1"/>
      <headerFooter alignWithMargins="0"/>
    </customSheetView>
    <customSheetView guid="{5FF41722-DC20-49D9-9ED5-FEC8C9404ECB}" showPageBreaks="1" showGridLines="0" fitToPage="1" printArea="1" showRuler="0" topLeftCell="A10">
      <selection activeCell="K29" sqref="K29"/>
      <pageMargins left="0.75" right="0.75" top="1" bottom="1" header="0.5" footer="0.5"/>
      <printOptions gridLines="1"/>
      <pageSetup scale="95" orientation="landscape" horizontalDpi="180" verticalDpi="180" r:id="rId2"/>
      <headerFooter alignWithMargins="0"/>
    </customSheetView>
    <customSheetView guid="{23A957A0-E704-4A72-A26E-A4FA7FC4849F}" showPageBreaks="1" showGridLines="0" fitToPage="1" printArea="1" showRuler="0" topLeftCell="A10">
      <selection activeCell="K29" sqref="K29"/>
      <pageMargins left="0.75" right="0.75" top="1" bottom="1" header="0.5" footer="0.5"/>
      <printOptions gridLines="1"/>
      <pageSetup scale="95" orientation="landscape" horizontalDpi="180" verticalDpi="180" r:id="rId3"/>
      <headerFooter alignWithMargins="0"/>
    </customSheetView>
  </customSheetViews>
  <mergeCells count="31">
    <mergeCell ref="S7:S8"/>
    <mergeCell ref="P6:R6"/>
    <mergeCell ref="S6:U6"/>
    <mergeCell ref="P7:P8"/>
    <mergeCell ref="Q7:Q8"/>
    <mergeCell ref="R7:R8"/>
    <mergeCell ref="U7:U8"/>
    <mergeCell ref="T7:T8"/>
    <mergeCell ref="M6:O6"/>
    <mergeCell ref="M7:M8"/>
    <mergeCell ref="N7:N8"/>
    <mergeCell ref="O7:O8"/>
    <mergeCell ref="J6:L6"/>
    <mergeCell ref="H7:H8"/>
    <mergeCell ref="E7:E8"/>
    <mergeCell ref="I7:I8"/>
    <mergeCell ref="G7:G8"/>
    <mergeCell ref="F7:F8"/>
    <mergeCell ref="A6:A8"/>
    <mergeCell ref="B6:B8"/>
    <mergeCell ref="C7:C8"/>
    <mergeCell ref="V6:X6"/>
    <mergeCell ref="V7:V8"/>
    <mergeCell ref="W7:W8"/>
    <mergeCell ref="X7:X8"/>
    <mergeCell ref="D6:F6"/>
    <mergeCell ref="L7:L8"/>
    <mergeCell ref="K7:K8"/>
    <mergeCell ref="J7:J8"/>
    <mergeCell ref="G6:I6"/>
    <mergeCell ref="D7:D8"/>
  </mergeCells>
  <phoneticPr fontId="0" type="noConversion"/>
  <printOptions horizontalCentered="1" gridLines="1"/>
  <pageMargins left="0.74803149606299213" right="0.74803149606299213" top="0.98425196850393704" bottom="0.98425196850393704" header="0.51181102362204722" footer="0.51181102362204722"/>
  <pageSetup paperSize="9" orientation="landscape" r:id="rId4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D32"/>
  <sheetViews>
    <sheetView showGridLines="0" zoomScale="130" zoomScaleNormal="130" workbookViewId="0">
      <selection sqref="A1:AD25"/>
    </sheetView>
  </sheetViews>
  <sheetFormatPr defaultRowHeight="12.75" x14ac:dyDescent="0.2"/>
  <cols>
    <col min="1" max="1" width="3.85546875" style="62" customWidth="1"/>
    <col min="2" max="2" width="25.5703125" style="62" customWidth="1"/>
    <col min="3" max="15" width="9.140625" style="62" hidden="1" customWidth="1"/>
    <col min="16" max="18" width="0" style="62" hidden="1" customWidth="1"/>
    <col min="19" max="20" width="9.140625" style="62" hidden="1" customWidth="1"/>
    <col min="21" max="21" width="9.140625" style="62" customWidth="1"/>
    <col min="22" max="26" width="9.140625" style="62"/>
    <col min="27" max="27" width="10.28515625" style="62" bestFit="1" customWidth="1"/>
    <col min="28" max="29" width="9.140625" style="62"/>
    <col min="30" max="30" width="10.28515625" style="62" bestFit="1" customWidth="1"/>
    <col min="31" max="16384" width="9.140625" style="62"/>
  </cols>
  <sheetData>
    <row r="1" spans="1:30" x14ac:dyDescent="0.2">
      <c r="A1" s="5" t="s">
        <v>499</v>
      </c>
      <c r="B1" s="151"/>
      <c r="T1" s="1" t="s">
        <v>606</v>
      </c>
      <c r="U1" s="16"/>
      <c r="V1" s="16"/>
      <c r="AD1" s="1774" t="s">
        <v>1348</v>
      </c>
    </row>
    <row r="2" spans="1:30" ht="12.75" customHeight="1" thickBot="1" x14ac:dyDescent="0.25">
      <c r="A2" s="84"/>
      <c r="B2" s="84"/>
      <c r="T2" s="16"/>
      <c r="U2" s="16"/>
      <c r="V2" s="16"/>
    </row>
    <row r="3" spans="1:30" ht="13.5" thickBot="1" x14ac:dyDescent="0.25">
      <c r="B3" s="90" t="s">
        <v>109</v>
      </c>
      <c r="T3" s="16"/>
      <c r="U3" s="16"/>
      <c r="V3" s="5" t="s">
        <v>116</v>
      </c>
    </row>
    <row r="4" spans="1:30" hidden="1" x14ac:dyDescent="0.2">
      <c r="B4" s="184"/>
    </row>
    <row r="5" spans="1:30" ht="13.5" hidden="1" thickBot="1" x14ac:dyDescent="0.25"/>
    <row r="6" spans="1:30" x14ac:dyDescent="0.2">
      <c r="A6" s="2013" t="s">
        <v>67</v>
      </c>
      <c r="B6" s="2016" t="s">
        <v>483</v>
      </c>
      <c r="C6" s="444" t="s">
        <v>268</v>
      </c>
      <c r="D6" s="1997" t="s">
        <v>632</v>
      </c>
      <c r="E6" s="1998"/>
      <c r="F6" s="2001"/>
      <c r="G6" s="1997" t="s">
        <v>633</v>
      </c>
      <c r="H6" s="1998"/>
      <c r="I6" s="2001"/>
      <c r="J6" s="1997" t="s">
        <v>634</v>
      </c>
      <c r="K6" s="1998"/>
      <c r="L6" s="1999"/>
      <c r="M6" s="2000" t="s">
        <v>766</v>
      </c>
      <c r="N6" s="1998"/>
      <c r="O6" s="2001"/>
      <c r="P6" s="1997" t="s">
        <v>767</v>
      </c>
      <c r="Q6" s="1998"/>
      <c r="R6" s="1999"/>
      <c r="S6" s="2000" t="s">
        <v>768</v>
      </c>
      <c r="T6" s="1998"/>
      <c r="U6" s="2001"/>
      <c r="V6" s="1997" t="s">
        <v>878</v>
      </c>
      <c r="W6" s="1998"/>
      <c r="X6" s="1999"/>
      <c r="Y6" s="2000" t="s">
        <v>879</v>
      </c>
      <c r="Z6" s="1998"/>
      <c r="AA6" s="2001"/>
      <c r="AB6" s="2000" t="s">
        <v>880</v>
      </c>
      <c r="AC6" s="1998"/>
      <c r="AD6" s="2001"/>
    </row>
    <row r="7" spans="1:30" ht="27.75" customHeight="1" x14ac:dyDescent="0.2">
      <c r="A7" s="2014"/>
      <c r="B7" s="2017"/>
      <c r="C7" s="1981" t="s">
        <v>486</v>
      </c>
      <c r="D7" s="2006" t="s">
        <v>15</v>
      </c>
      <c r="E7" s="2008" t="s">
        <v>85</v>
      </c>
      <c r="F7" s="1981" t="s">
        <v>486</v>
      </c>
      <c r="G7" s="2006" t="s">
        <v>15</v>
      </c>
      <c r="H7" s="2008" t="s">
        <v>85</v>
      </c>
      <c r="I7" s="1981" t="s">
        <v>486</v>
      </c>
      <c r="J7" s="2006" t="s">
        <v>15</v>
      </c>
      <c r="K7" s="2008" t="s">
        <v>85</v>
      </c>
      <c r="L7" s="1993" t="s">
        <v>486</v>
      </c>
      <c r="M7" s="2002" t="s">
        <v>15</v>
      </c>
      <c r="N7" s="1961" t="s">
        <v>85</v>
      </c>
      <c r="O7" s="1981" t="s">
        <v>486</v>
      </c>
      <c r="P7" s="2010" t="s">
        <v>15</v>
      </c>
      <c r="Q7" s="1961" t="s">
        <v>85</v>
      </c>
      <c r="R7" s="1993" t="s">
        <v>486</v>
      </c>
      <c r="S7" s="2002" t="s">
        <v>15</v>
      </c>
      <c r="T7" s="1961" t="s">
        <v>85</v>
      </c>
      <c r="U7" s="1981" t="s">
        <v>486</v>
      </c>
      <c r="V7" s="2002" t="s">
        <v>15</v>
      </c>
      <c r="W7" s="1961" t="s">
        <v>85</v>
      </c>
      <c r="X7" s="1981" t="s">
        <v>486</v>
      </c>
      <c r="Y7" s="2002" t="s">
        <v>15</v>
      </c>
      <c r="Z7" s="1961" t="s">
        <v>85</v>
      </c>
      <c r="AA7" s="1981" t="s">
        <v>486</v>
      </c>
      <c r="AB7" s="2002" t="s">
        <v>15</v>
      </c>
      <c r="AC7" s="1961" t="s">
        <v>85</v>
      </c>
      <c r="AD7" s="1981" t="s">
        <v>486</v>
      </c>
    </row>
    <row r="8" spans="1:30" ht="23.25" customHeight="1" thickBot="1" x14ac:dyDescent="0.25">
      <c r="A8" s="2015"/>
      <c r="B8" s="2018"/>
      <c r="C8" s="1994"/>
      <c r="D8" s="2007"/>
      <c r="E8" s="2009"/>
      <c r="F8" s="1994"/>
      <c r="G8" s="2007"/>
      <c r="H8" s="2009"/>
      <c r="I8" s="1994"/>
      <c r="J8" s="2007"/>
      <c r="K8" s="2009"/>
      <c r="L8" s="1988"/>
      <c r="M8" s="2003"/>
      <c r="N8" s="2004"/>
      <c r="O8" s="2005"/>
      <c r="P8" s="2011"/>
      <c r="Q8" s="2004"/>
      <c r="R8" s="2012"/>
      <c r="S8" s="2003"/>
      <c r="T8" s="2004"/>
      <c r="U8" s="2005"/>
      <c r="V8" s="2003"/>
      <c r="W8" s="2004"/>
      <c r="X8" s="2005"/>
      <c r="Y8" s="2003"/>
      <c r="Z8" s="2004"/>
      <c r="AA8" s="2005"/>
      <c r="AB8" s="2003"/>
      <c r="AC8" s="2004"/>
      <c r="AD8" s="2005"/>
    </row>
    <row r="9" spans="1:30" ht="18" customHeight="1" x14ac:dyDescent="0.2">
      <c r="A9" s="79"/>
      <c r="B9" s="358" t="s">
        <v>357</v>
      </c>
      <c r="C9" s="80"/>
      <c r="D9" s="171"/>
      <c r="E9" s="172"/>
      <c r="F9" s="80"/>
      <c r="G9" s="171"/>
      <c r="H9" s="172"/>
      <c r="I9" s="80"/>
      <c r="J9" s="171"/>
      <c r="K9" s="172"/>
      <c r="L9" s="381"/>
      <c r="M9" s="377"/>
      <c r="N9" s="409"/>
      <c r="O9" s="410"/>
      <c r="P9" s="378"/>
      <c r="Q9" s="409"/>
      <c r="R9" s="411"/>
      <c r="S9" s="377"/>
      <c r="T9" s="409"/>
      <c r="U9" s="410"/>
      <c r="V9" s="377"/>
      <c r="W9" s="409"/>
      <c r="X9" s="410"/>
      <c r="Y9" s="377"/>
      <c r="Z9" s="409"/>
      <c r="AA9" s="410"/>
      <c r="AB9" s="377"/>
      <c r="AC9" s="409"/>
      <c r="AD9" s="410"/>
    </row>
    <row r="10" spans="1:30" ht="25.5" x14ac:dyDescent="0.2">
      <c r="A10" s="43" t="s">
        <v>81</v>
      </c>
      <c r="B10" s="259" t="s">
        <v>487</v>
      </c>
      <c r="C10" s="37" t="e">
        <f>'D-15'!#REF!-'D-8'!#REF!-0.27</f>
        <v>#REF!</v>
      </c>
      <c r="D10" s="33" t="e">
        <f>'D-15'!#REF!-'D-15'!#REF!</f>
        <v>#REF!</v>
      </c>
      <c r="E10" s="32" t="e">
        <f>'D-8'!#REF!-'D-8'!#REF!</f>
        <v>#REF!</v>
      </c>
      <c r="F10" s="37" t="e">
        <f>C10+D10-E10</f>
        <v>#REF!</v>
      </c>
      <c r="G10" s="33" t="e">
        <f>'D-15'!#REF!-'D-15'!#REF!</f>
        <v>#REF!</v>
      </c>
      <c r="H10" s="32" t="e">
        <f>'D-8'!#REF!-'D-8'!#REF!</f>
        <v>#REF!</v>
      </c>
      <c r="I10" s="37">
        <f>'D-15'!C10-'D-8'!C14</f>
        <v>7.26</v>
      </c>
      <c r="J10" s="33">
        <f>'D-15'!D10-'D-15'!E10</f>
        <v>1.3273500000000001E-2</v>
      </c>
      <c r="K10" s="32">
        <f>'D-8'!D14-'D-8'!E14</f>
        <v>0</v>
      </c>
      <c r="L10" s="404">
        <f>I10+J10-K10</f>
        <v>7.2732735000000002</v>
      </c>
      <c r="M10" s="412">
        <f>'D-15'!G10-'D-15'!H10</f>
        <v>3.25</v>
      </c>
      <c r="N10" s="32">
        <f>'D-8'!G14-'D-8'!H14</f>
        <v>0</v>
      </c>
      <c r="O10" s="37">
        <f>L10+M10-N10</f>
        <v>10.5232735</v>
      </c>
      <c r="P10" s="33">
        <f>'D-15'!J10-'D-15'!K10</f>
        <v>0.4</v>
      </c>
      <c r="Q10" s="32">
        <f>'D-8'!J14-'D-8'!K14</f>
        <v>0</v>
      </c>
      <c r="R10" s="404">
        <f>O10+P10-Q10</f>
        <v>10.923273500000001</v>
      </c>
      <c r="S10" s="412">
        <f>'D-15'!M10-'D-15'!N10</f>
        <v>1.08</v>
      </c>
      <c r="T10" s="32">
        <f>'D-8'!M14-'D-8'!N14</f>
        <v>0</v>
      </c>
      <c r="U10" s="37">
        <f>R10+S10-T10</f>
        <v>12.003273500000001</v>
      </c>
      <c r="V10" s="412">
        <f>'D-15'!P10-'D-15'!Q10</f>
        <v>2.618376</v>
      </c>
      <c r="W10" s="32">
        <f>'D-8'!P14-'D-8'!Q14</f>
        <v>0</v>
      </c>
      <c r="X10" s="37">
        <f>U10+V10-W10</f>
        <v>14.6216495</v>
      </c>
      <c r="Y10" s="412">
        <f>'D-15'!S10-'D-15'!T10</f>
        <v>1.7413157640171995</v>
      </c>
      <c r="Z10" s="32">
        <f>'D-8'!S14-'D-8'!T14</f>
        <v>0</v>
      </c>
      <c r="AA10" s="37">
        <f>X10+Y10-Z10</f>
        <v>16.362965264017198</v>
      </c>
      <c r="AB10" s="412">
        <f>'D-15'!V10-'D-15'!W10</f>
        <v>2.4556580709502933</v>
      </c>
      <c r="AC10" s="32">
        <f>'D-8'!V14-'D-8'!W14</f>
        <v>0</v>
      </c>
      <c r="AD10" s="37">
        <f>AA10+AB10-AC10</f>
        <v>18.818623334967491</v>
      </c>
    </row>
    <row r="11" spans="1:30" ht="25.5" x14ac:dyDescent="0.2">
      <c r="A11" s="39" t="s">
        <v>82</v>
      </c>
      <c r="B11" s="260" t="s">
        <v>488</v>
      </c>
      <c r="C11" s="37" t="e">
        <f>'D-15'!#REF!-'D-8'!#REF!+1.86</f>
        <v>#REF!</v>
      </c>
      <c r="D11" s="33" t="e">
        <f>'D-15'!#REF!-'D-15'!#REF!</f>
        <v>#REF!</v>
      </c>
      <c r="E11" s="32" t="e">
        <f>'D-8'!#REF!-'D-8'!#REF!</f>
        <v>#REF!</v>
      </c>
      <c r="F11" s="37" t="e">
        <f t="shared" ref="F11:F23" si="0">C11+D11-E11</f>
        <v>#REF!</v>
      </c>
      <c r="G11" s="33" t="e">
        <f>'D-15'!#REF!-'D-15'!#REF!</f>
        <v>#REF!</v>
      </c>
      <c r="H11" s="32" t="e">
        <f>'D-8'!#REF!-'D-8'!#REF!</f>
        <v>#REF!</v>
      </c>
      <c r="I11" s="37">
        <f>'D-15'!C11-'D-8'!C15</f>
        <v>61.786966945296804</v>
      </c>
      <c r="J11" s="33">
        <f>'D-15'!D11-'D-15'!E11</f>
        <v>27.411656000000001</v>
      </c>
      <c r="K11" s="32">
        <f>'D-8'!D15-'D-8'!E15</f>
        <v>2.2999999999999994</v>
      </c>
      <c r="L11" s="404">
        <f t="shared" ref="L11:L23" si="1">I11+J11-K11</f>
        <v>86.898622945296808</v>
      </c>
      <c r="M11" s="412">
        <f>'D-15'!G11-'D-15'!H11</f>
        <v>49.188000000000002</v>
      </c>
      <c r="N11" s="32">
        <f>'D-8'!G15-'D-8'!H15</f>
        <v>6.1950000000000003</v>
      </c>
      <c r="O11" s="37">
        <f>L11+M11-N11</f>
        <v>129.89162294529683</v>
      </c>
      <c r="P11" s="33">
        <f>'D-15'!J11-'D-15'!K11</f>
        <v>27.740000000000002</v>
      </c>
      <c r="Q11" s="32">
        <f>'D-8'!J15-'D-8'!K15</f>
        <v>3.47</v>
      </c>
      <c r="R11" s="404">
        <f>O11+P11-Q11</f>
        <v>154.16162294529684</v>
      </c>
      <c r="S11" s="412">
        <f>'D-15'!M11-'D-15'!N11</f>
        <v>74.080000000000013</v>
      </c>
      <c r="T11" s="32">
        <f>'D-8'!M15-'D-8'!N15</f>
        <v>8.0499999999999989</v>
      </c>
      <c r="U11" s="37">
        <f>R11+S11-T11</f>
        <v>220.19162294529684</v>
      </c>
      <c r="V11" s="412">
        <f>'D-15'!P11-'D-15'!Q11</f>
        <v>58.305841705999995</v>
      </c>
      <c r="W11" s="32">
        <f>'D-8'!P15-'D-8'!Q15</f>
        <v>8.7650883587514681</v>
      </c>
      <c r="X11" s="37">
        <f>U11+V11-W11</f>
        <v>269.73237629254533</v>
      </c>
      <c r="Y11" s="412">
        <f>'D-15'!S11-'D-15'!T11</f>
        <v>38.774626269211687</v>
      </c>
      <c r="Z11" s="32">
        <f>'D-8'!S15-'D-8'!T15</f>
        <v>8.6374742758591658</v>
      </c>
      <c r="AA11" s="37">
        <f>X11+Y11-Z11</f>
        <v>299.86952828589784</v>
      </c>
      <c r="AB11" s="412">
        <f>'D-15'!V11-'D-15'!W11</f>
        <v>54.682972720762301</v>
      </c>
      <c r="AC11" s="32">
        <f>'D-8'!V15-'D-8'!W15</f>
        <v>8.5117181724287789</v>
      </c>
      <c r="AD11" s="37">
        <f>AA11+AB11-AC11</f>
        <v>346.04078283423132</v>
      </c>
    </row>
    <row r="12" spans="1:30" x14ac:dyDescent="0.2">
      <c r="A12" s="40" t="s">
        <v>83</v>
      </c>
      <c r="B12" s="261" t="s">
        <v>544</v>
      </c>
      <c r="C12" s="37" t="e">
        <f>'D-15'!#REF!-'D-8'!#REF!+67.5</f>
        <v>#REF!</v>
      </c>
      <c r="D12" s="33" t="e">
        <f>'D-15'!#REF!-'D-15'!#REF!</f>
        <v>#REF!</v>
      </c>
      <c r="E12" s="32" t="e">
        <f>'D-8'!#REF!-'D-8'!#REF!</f>
        <v>#REF!</v>
      </c>
      <c r="F12" s="37" t="e">
        <f t="shared" si="0"/>
        <v>#REF!</v>
      </c>
      <c r="G12" s="33" t="e">
        <f>'D-15'!#REF!-'D-15'!#REF!</f>
        <v>#REF!</v>
      </c>
      <c r="H12" s="32" t="e">
        <f>'D-8'!#REF!-'D-8'!#REF!</f>
        <v>#REF!</v>
      </c>
      <c r="I12" s="37">
        <f>'D-15'!C12-'D-8'!C16</f>
        <v>1142.2590000000002</v>
      </c>
      <c r="J12" s="33">
        <f>'D-15'!D12-'D-15'!E12</f>
        <v>487.2306964</v>
      </c>
      <c r="K12" s="32">
        <f>'D-8'!D16-'D-8'!E16</f>
        <v>89.36999999999999</v>
      </c>
      <c r="L12" s="404">
        <f t="shared" si="1"/>
        <v>1540.1196964000003</v>
      </c>
      <c r="M12" s="412">
        <f>'D-15'!G12-'D-15'!H12</f>
        <v>310.74</v>
      </c>
      <c r="N12" s="32">
        <f>'D-8'!G16-'D-8'!H16</f>
        <v>89.8</v>
      </c>
      <c r="O12" s="37">
        <f>L12+M12-N12</f>
        <v>1761.0596964000003</v>
      </c>
      <c r="P12" s="33">
        <f>'D-15'!J12-'D-15'!K12</f>
        <v>357.63</v>
      </c>
      <c r="Q12" s="32">
        <f>'D-8'!J16-'D-8'!K16</f>
        <v>105.8</v>
      </c>
      <c r="R12" s="404">
        <f>O12+P12-Q12</f>
        <v>2012.8896964000003</v>
      </c>
      <c r="S12" s="412">
        <f>'D-15'!M12-'D-15'!N12</f>
        <v>438.86</v>
      </c>
      <c r="T12" s="32">
        <f>'D-8'!M16-'D-8'!N16</f>
        <v>138.53</v>
      </c>
      <c r="U12" s="37">
        <f>R12+S12-T12+83</f>
        <v>2396.2196964</v>
      </c>
      <c r="V12" s="412">
        <f>'D-15'!P12-'D-15'!Q12</f>
        <v>787.2264933793299</v>
      </c>
      <c r="W12" s="32">
        <f>'D-8'!P16-'D-8'!Q16</f>
        <v>195.75176618088594</v>
      </c>
      <c r="X12" s="37">
        <f>U12+V12-W12+83</f>
        <v>3070.6944235984438</v>
      </c>
      <c r="Y12" s="412">
        <f>'D-15'!S12-'D-15'!T12</f>
        <v>489.20522369576065</v>
      </c>
      <c r="Z12" s="32">
        <f>'D-8'!S16-'D-8'!T16</f>
        <v>192.90174561140924</v>
      </c>
      <c r="AA12" s="37">
        <f>X12+Y12-Z12+83</f>
        <v>3449.9979016827951</v>
      </c>
      <c r="AB12" s="412">
        <f>'D-15'!V12-'D-15'!W12</f>
        <v>758.52403183422996</v>
      </c>
      <c r="AC12" s="32">
        <f>'D-8'!V16-'D-8'!W16</f>
        <v>190.09321951937667</v>
      </c>
      <c r="AD12" s="37">
        <f>AA12+AB12-AC12+83</f>
        <v>4101.4287139976477</v>
      </c>
    </row>
    <row r="13" spans="1:30" ht="51" x14ac:dyDescent="0.2">
      <c r="A13" s="39" t="s">
        <v>61</v>
      </c>
      <c r="B13" s="260" t="s">
        <v>312</v>
      </c>
      <c r="C13" s="37" t="e">
        <f>'D-15'!#REF!-'D-8'!#REF!</f>
        <v>#REF!</v>
      </c>
      <c r="D13" s="33" t="e">
        <f>'D-15'!#REF!-'D-15'!#REF!</f>
        <v>#REF!</v>
      </c>
      <c r="E13" s="32" t="e">
        <f>'D-8'!#REF!-'D-8'!#REF!</f>
        <v>#REF!</v>
      </c>
      <c r="F13" s="37" t="e">
        <f t="shared" si="0"/>
        <v>#REF!</v>
      </c>
      <c r="G13" s="33" t="e">
        <f>'D-15'!#REF!-'D-15'!#REF!</f>
        <v>#REF!</v>
      </c>
      <c r="H13" s="32" t="e">
        <f>'D-8'!#REF!-'D-8'!#REF!</f>
        <v>#REF!</v>
      </c>
      <c r="I13" s="37"/>
      <c r="J13" s="33">
        <f>'D-15'!D13-'D-15'!E13</f>
        <v>0</v>
      </c>
      <c r="K13" s="32">
        <f>'D-8'!D17-'D-8'!E17</f>
        <v>0</v>
      </c>
      <c r="L13" s="404"/>
      <c r="M13" s="412">
        <f>'D-15'!G13-'D-15'!H13</f>
        <v>0</v>
      </c>
      <c r="N13" s="32">
        <f>'D-8'!G17-'D-8'!H17</f>
        <v>0</v>
      </c>
      <c r="O13" s="37">
        <f t="shared" ref="O13:O23" si="2">L13+M13-N13</f>
        <v>0</v>
      </c>
      <c r="P13" s="33">
        <f>'D-15'!J13-'D-15'!K13</f>
        <v>0</v>
      </c>
      <c r="Q13" s="32">
        <f>'D-8'!J17-'D-8'!K17</f>
        <v>0</v>
      </c>
      <c r="R13" s="404">
        <f t="shared" ref="R13:R23" si="3">O13+P13-Q13</f>
        <v>0</v>
      </c>
      <c r="S13" s="412">
        <f>'D-15'!M13-'D-15'!N13</f>
        <v>0</v>
      </c>
      <c r="T13" s="32">
        <f>'D-8'!M17-'D-8'!N17</f>
        <v>0</v>
      </c>
      <c r="U13" s="37">
        <f t="shared" ref="U13:U23" si="4">R13+S13-T13</f>
        <v>0</v>
      </c>
      <c r="V13" s="412">
        <f>'D-15'!P13-'D-15'!Q13</f>
        <v>0</v>
      </c>
      <c r="W13" s="32">
        <f>'D-8'!P17-'D-8'!Q17</f>
        <v>0</v>
      </c>
      <c r="X13" s="37">
        <f t="shared" ref="X13:X23" si="5">U13+V13-W13</f>
        <v>0</v>
      </c>
      <c r="Y13" s="412">
        <f>'D-15'!S13-'D-15'!T13</f>
        <v>0</v>
      </c>
      <c r="Z13" s="32">
        <f>'D-8'!S17-'D-8'!T17</f>
        <v>0</v>
      </c>
      <c r="AA13" s="37">
        <f t="shared" ref="AA13:AA23" si="6">X13+Y13-Z13</f>
        <v>0</v>
      </c>
      <c r="AB13" s="412">
        <f>'D-15'!V13-'D-15'!W13</f>
        <v>0</v>
      </c>
      <c r="AC13" s="32">
        <f>'D-8'!V17-'D-8'!W17</f>
        <v>0</v>
      </c>
      <c r="AD13" s="37">
        <f t="shared" ref="AD13:AD23" si="7">AA13+AB13-AC13</f>
        <v>0</v>
      </c>
    </row>
    <row r="14" spans="1:30" ht="25.5" x14ac:dyDescent="0.2">
      <c r="A14" s="39" t="s">
        <v>62</v>
      </c>
      <c r="B14" s="23" t="s">
        <v>545</v>
      </c>
      <c r="C14" s="37" t="e">
        <f>'D-15'!#REF!-'D-8'!#REF!+110.96</f>
        <v>#REF!</v>
      </c>
      <c r="D14" s="33" t="e">
        <f>'D-15'!#REF!-'D-15'!#REF!</f>
        <v>#REF!</v>
      </c>
      <c r="E14" s="32" t="e">
        <f>'D-8'!#REF!-'D-8'!#REF!</f>
        <v>#REF!</v>
      </c>
      <c r="F14" s="37" t="e">
        <f t="shared" si="0"/>
        <v>#REF!</v>
      </c>
      <c r="G14" s="33" t="e">
        <f>'D-15'!#REF!-'D-15'!#REF!</f>
        <v>#REF!</v>
      </c>
      <c r="H14" s="32" t="e">
        <f>'D-8'!#REF!-'D-8'!#REF!</f>
        <v>#REF!</v>
      </c>
      <c r="I14" s="37">
        <f>'D-15'!C14-'D-8'!C18</f>
        <v>3822.3100000000004</v>
      </c>
      <c r="J14" s="33">
        <f>'D-15'!D14-'D-15'!E14</f>
        <v>1300.4314534</v>
      </c>
      <c r="K14" s="32">
        <f>'D-8'!D18-'D-8'!E18</f>
        <v>259.75000000000006</v>
      </c>
      <c r="L14" s="404">
        <f t="shared" si="1"/>
        <v>4862.9914534</v>
      </c>
      <c r="M14" s="412">
        <f>'D-15'!G14-'D-15'!H14</f>
        <v>1130.25</v>
      </c>
      <c r="N14" s="32">
        <f>'D-8'!G18-'D-8'!H18</f>
        <v>336.2</v>
      </c>
      <c r="O14" s="37">
        <f t="shared" si="2"/>
        <v>5657.0414534000001</v>
      </c>
      <c r="P14" s="33">
        <f>'D-15'!J14-'D-15'!K14</f>
        <v>1167.2800000000002</v>
      </c>
      <c r="Q14" s="32">
        <f>'D-8'!J18-'D-8'!K18</f>
        <v>382.16</v>
      </c>
      <c r="R14" s="404">
        <f t="shared" si="3"/>
        <v>6442.1614534</v>
      </c>
      <c r="S14" s="412">
        <f>'D-15'!M14-'D-15'!N14</f>
        <v>2100.88</v>
      </c>
      <c r="T14" s="32">
        <f>'D-8'!M18-'D-8'!N18</f>
        <v>469.15999999999997</v>
      </c>
      <c r="U14" s="37">
        <f t="shared" si="4"/>
        <v>8073.8814534000012</v>
      </c>
      <c r="V14" s="412">
        <f>'D-15'!P14-'D-15'!Q14</f>
        <v>2196.3087556584605</v>
      </c>
      <c r="W14" s="32">
        <f>'D-8'!P18-'D-8'!Q18</f>
        <v>596.33473484605997</v>
      </c>
      <c r="X14" s="37">
        <f t="shared" si="5"/>
        <v>9673.8554742124034</v>
      </c>
      <c r="Y14" s="412">
        <f>'D-15'!S14-'D-15'!T14</f>
        <v>1448.0297741936358</v>
      </c>
      <c r="Z14" s="32">
        <f>'D-8'!S18-'D-8'!T18</f>
        <v>587.65248234962928</v>
      </c>
      <c r="AA14" s="37">
        <f t="shared" si="6"/>
        <v>10534.23276605641</v>
      </c>
      <c r="AB14" s="412">
        <f>'D-15'!V14-'D-15'!W14</f>
        <v>2067.2388053702239</v>
      </c>
      <c r="AC14" s="32">
        <f>'D-8'!V18-'D-8'!W18</f>
        <v>579.09663789889339</v>
      </c>
      <c r="AD14" s="37">
        <f t="shared" si="7"/>
        <v>12022.374933527739</v>
      </c>
    </row>
    <row r="15" spans="1:30" ht="15" customHeight="1" x14ac:dyDescent="0.2">
      <c r="A15" s="39" t="s">
        <v>63</v>
      </c>
      <c r="B15" s="260" t="s">
        <v>313</v>
      </c>
      <c r="C15" s="37" t="e">
        <f>'D-15'!#REF!-'D-8'!#REF!</f>
        <v>#REF!</v>
      </c>
      <c r="D15" s="33" t="e">
        <f>'D-15'!#REF!-'D-15'!#REF!</f>
        <v>#REF!</v>
      </c>
      <c r="E15" s="32" t="e">
        <f>'D-8'!#REF!-'D-8'!#REF!</f>
        <v>#REF!</v>
      </c>
      <c r="F15" s="37" t="e">
        <f t="shared" si="0"/>
        <v>#REF!</v>
      </c>
      <c r="G15" s="33" t="e">
        <f>'D-15'!#REF!-'D-15'!#REF!</f>
        <v>#REF!</v>
      </c>
      <c r="H15" s="32" t="e">
        <f>'D-8'!#REF!-'D-8'!#REF!</f>
        <v>#REF!</v>
      </c>
      <c r="I15" s="37"/>
      <c r="J15" s="33">
        <f>'D-15'!D15-'D-15'!E15</f>
        <v>0</v>
      </c>
      <c r="K15" s="32">
        <f>'D-8'!D19-'D-8'!E19</f>
        <v>0</v>
      </c>
      <c r="L15" s="404"/>
      <c r="M15" s="412">
        <f>'D-15'!G15-'D-15'!H15</f>
        <v>0</v>
      </c>
      <c r="N15" s="32">
        <f>'D-8'!G19-'D-8'!H19</f>
        <v>0</v>
      </c>
      <c r="O15" s="37">
        <f t="shared" si="2"/>
        <v>0</v>
      </c>
      <c r="P15" s="33">
        <f>'D-15'!J15-'D-15'!K15</f>
        <v>0</v>
      </c>
      <c r="Q15" s="32">
        <f>'D-8'!J19-'D-8'!K19</f>
        <v>0</v>
      </c>
      <c r="R15" s="404">
        <f t="shared" si="3"/>
        <v>0</v>
      </c>
      <c r="S15" s="412">
        <f>'D-15'!M15-'D-15'!N15</f>
        <v>0</v>
      </c>
      <c r="T15" s="32">
        <f>'D-8'!M19-'D-8'!N19</f>
        <v>0</v>
      </c>
      <c r="U15" s="37">
        <f t="shared" si="4"/>
        <v>0</v>
      </c>
      <c r="V15" s="412">
        <f>'D-15'!P15-'D-15'!Q15</f>
        <v>0</v>
      </c>
      <c r="W15" s="32">
        <f>'D-8'!P19-'D-8'!Q19</f>
        <v>0</v>
      </c>
      <c r="X15" s="37">
        <f t="shared" si="5"/>
        <v>0</v>
      </c>
      <c r="Y15" s="412">
        <f>'D-15'!S15-'D-15'!T15</f>
        <v>0</v>
      </c>
      <c r="Z15" s="32">
        <f>'D-8'!S19-'D-8'!T19</f>
        <v>0</v>
      </c>
      <c r="AA15" s="37">
        <f t="shared" si="6"/>
        <v>0</v>
      </c>
      <c r="AB15" s="412">
        <f>'D-15'!V15-'D-15'!W15</f>
        <v>0</v>
      </c>
      <c r="AC15" s="32">
        <f>'D-8'!V19-'D-8'!W19</f>
        <v>0</v>
      </c>
      <c r="AD15" s="37">
        <f t="shared" si="7"/>
        <v>0</v>
      </c>
    </row>
    <row r="16" spans="1:30" ht="11.25" customHeight="1" x14ac:dyDescent="0.2">
      <c r="A16" s="39" t="s">
        <v>64</v>
      </c>
      <c r="B16" s="260" t="s">
        <v>314</v>
      </c>
      <c r="C16" s="37" t="e">
        <f>'D-15'!#REF!-'D-8'!#REF!</f>
        <v>#REF!</v>
      </c>
      <c r="D16" s="33" t="e">
        <f>'D-15'!#REF!-'D-15'!#REF!</f>
        <v>#REF!</v>
      </c>
      <c r="E16" s="32" t="e">
        <f>'D-8'!#REF!-'D-8'!#REF!</f>
        <v>#REF!</v>
      </c>
      <c r="F16" s="37" t="e">
        <f t="shared" si="0"/>
        <v>#REF!</v>
      </c>
      <c r="G16" s="33" t="e">
        <f>'D-15'!#REF!-'D-15'!#REF!</f>
        <v>#REF!</v>
      </c>
      <c r="H16" s="32" t="e">
        <f>'D-8'!#REF!-'D-8'!#REF!</f>
        <v>#REF!</v>
      </c>
      <c r="I16" s="37">
        <f>'D-15'!C16-'D-8'!C20</f>
        <v>0</v>
      </c>
      <c r="J16" s="33">
        <f>'D-15'!D16-'D-15'!E16</f>
        <v>0</v>
      </c>
      <c r="K16" s="32">
        <f>'D-8'!D20-'D-8'!E20</f>
        <v>0</v>
      </c>
      <c r="L16" s="404"/>
      <c r="M16" s="412">
        <f>'D-15'!G16-'D-15'!H16</f>
        <v>0</v>
      </c>
      <c r="N16" s="32">
        <f>'D-8'!G20-'D-8'!H20</f>
        <v>0</v>
      </c>
      <c r="O16" s="37">
        <f t="shared" si="2"/>
        <v>0</v>
      </c>
      <c r="P16" s="33">
        <f>'D-15'!J16-'D-15'!K16</f>
        <v>0</v>
      </c>
      <c r="Q16" s="32">
        <f>'D-8'!J20-'D-8'!K20</f>
        <v>0</v>
      </c>
      <c r="R16" s="404">
        <f t="shared" si="3"/>
        <v>0</v>
      </c>
      <c r="S16" s="412">
        <f>'D-15'!M16-'D-15'!N16</f>
        <v>0</v>
      </c>
      <c r="T16" s="32">
        <f>'D-8'!M20-'D-8'!N20</f>
        <v>0</v>
      </c>
      <c r="U16" s="37">
        <f t="shared" si="4"/>
        <v>0</v>
      </c>
      <c r="V16" s="412">
        <f>'D-15'!P16-'D-15'!Q16</f>
        <v>0</v>
      </c>
      <c r="W16" s="32">
        <f>'D-8'!P20-'D-8'!Q20</f>
        <v>0</v>
      </c>
      <c r="X16" s="37">
        <f t="shared" si="5"/>
        <v>0</v>
      </c>
      <c r="Y16" s="412">
        <f>'D-15'!S16-'D-15'!T16</f>
        <v>0</v>
      </c>
      <c r="Z16" s="32">
        <f>'D-8'!S20-'D-8'!T20</f>
        <v>0</v>
      </c>
      <c r="AA16" s="37">
        <f t="shared" si="6"/>
        <v>0</v>
      </c>
      <c r="AB16" s="412">
        <f>'D-15'!V16-'D-15'!W16</f>
        <v>0</v>
      </c>
      <c r="AC16" s="32">
        <f>'D-8'!V20-'D-8'!W20</f>
        <v>0</v>
      </c>
      <c r="AD16" s="37">
        <f t="shared" si="7"/>
        <v>0</v>
      </c>
    </row>
    <row r="17" spans="1:30" ht="12" customHeight="1" x14ac:dyDescent="0.2">
      <c r="A17" s="39" t="s">
        <v>65</v>
      </c>
      <c r="B17" s="260" t="s">
        <v>564</v>
      </c>
      <c r="C17" s="37" t="e">
        <f>'D-15'!#REF!-'D-8'!#REF!</f>
        <v>#REF!</v>
      </c>
      <c r="D17" s="33" t="e">
        <f>'D-15'!#REF!-'D-15'!#REF!</f>
        <v>#REF!</v>
      </c>
      <c r="E17" s="32" t="e">
        <f>'D-8'!#REF!-'D-8'!#REF!</f>
        <v>#REF!</v>
      </c>
      <c r="F17" s="37" t="e">
        <f t="shared" si="0"/>
        <v>#REF!</v>
      </c>
      <c r="G17" s="33" t="e">
        <f>'D-15'!#REF!-'D-15'!#REF!</f>
        <v>#REF!</v>
      </c>
      <c r="H17" s="32" t="e">
        <f>'D-8'!#REF!-'D-8'!#REF!</f>
        <v>#REF!</v>
      </c>
      <c r="I17" s="37"/>
      <c r="J17" s="33">
        <f>'D-15'!D17-'D-15'!E17</f>
        <v>0</v>
      </c>
      <c r="K17" s="32">
        <f>'D-8'!D21-'D-8'!E21</f>
        <v>0</v>
      </c>
      <c r="L17" s="404"/>
      <c r="M17" s="412">
        <f>'D-15'!G17-'D-15'!H17</f>
        <v>0</v>
      </c>
      <c r="N17" s="32">
        <f>'D-8'!G21-'D-8'!H21</f>
        <v>0</v>
      </c>
      <c r="O17" s="37">
        <f t="shared" si="2"/>
        <v>0</v>
      </c>
      <c r="P17" s="33">
        <f>'D-15'!J17-'D-15'!K17</f>
        <v>0</v>
      </c>
      <c r="Q17" s="32">
        <f>'D-8'!J21-'D-8'!K21</f>
        <v>0</v>
      </c>
      <c r="R17" s="404">
        <f t="shared" si="3"/>
        <v>0</v>
      </c>
      <c r="S17" s="412">
        <f>'D-15'!M17-'D-15'!N17</f>
        <v>0</v>
      </c>
      <c r="T17" s="32">
        <f>'D-8'!M21-'D-8'!N21</f>
        <v>0</v>
      </c>
      <c r="U17" s="37">
        <f t="shared" si="4"/>
        <v>0</v>
      </c>
      <c r="V17" s="412">
        <f>'D-15'!P17-'D-15'!Q17</f>
        <v>0</v>
      </c>
      <c r="W17" s="32">
        <f>'D-8'!P21-'D-8'!Q21</f>
        <v>0</v>
      </c>
      <c r="X17" s="37">
        <f t="shared" si="5"/>
        <v>0</v>
      </c>
      <c r="Y17" s="412">
        <f>'D-15'!S17-'D-15'!T17</f>
        <v>0</v>
      </c>
      <c r="Z17" s="32">
        <f>'D-8'!S21-'D-8'!T21</f>
        <v>0</v>
      </c>
      <c r="AA17" s="37">
        <f t="shared" si="6"/>
        <v>0</v>
      </c>
      <c r="AB17" s="412">
        <f>'D-15'!V17-'D-15'!W17</f>
        <v>0</v>
      </c>
      <c r="AC17" s="32">
        <f>'D-8'!V21-'D-8'!W21</f>
        <v>0</v>
      </c>
      <c r="AD17" s="37">
        <f t="shared" si="7"/>
        <v>0</v>
      </c>
    </row>
    <row r="18" spans="1:30" ht="10.5" customHeight="1" x14ac:dyDescent="0.2">
      <c r="A18" s="39" t="s">
        <v>66</v>
      </c>
      <c r="B18" s="260" t="s">
        <v>565</v>
      </c>
      <c r="C18" s="37" t="e">
        <f>'D-15'!#REF!-'D-8'!#REF!</f>
        <v>#REF!</v>
      </c>
      <c r="D18" s="33" t="e">
        <f>'D-15'!#REF!-'D-15'!#REF!</f>
        <v>#REF!</v>
      </c>
      <c r="E18" s="32" t="e">
        <f>'D-8'!#REF!-'D-8'!#REF!</f>
        <v>#REF!</v>
      </c>
      <c r="F18" s="37" t="e">
        <f t="shared" si="0"/>
        <v>#REF!</v>
      </c>
      <c r="G18" s="33" t="e">
        <f>'D-15'!#REF!-'D-15'!#REF!</f>
        <v>#REF!</v>
      </c>
      <c r="H18" s="32" t="e">
        <f>'D-8'!#REF!-'D-8'!#REF!</f>
        <v>#REF!</v>
      </c>
      <c r="I18" s="37"/>
      <c r="J18" s="33">
        <f>'D-15'!D18-'D-15'!E18</f>
        <v>0</v>
      </c>
      <c r="K18" s="32">
        <f>'D-8'!D22-'D-8'!E22</f>
        <v>0</v>
      </c>
      <c r="L18" s="404"/>
      <c r="M18" s="412">
        <f>'D-15'!G18-'D-15'!H18</f>
        <v>0</v>
      </c>
      <c r="N18" s="32">
        <f>'D-8'!G22-'D-8'!H22</f>
        <v>0</v>
      </c>
      <c r="O18" s="37">
        <f t="shared" si="2"/>
        <v>0</v>
      </c>
      <c r="P18" s="33">
        <f>'D-15'!J18-'D-15'!K18</f>
        <v>0</v>
      </c>
      <c r="Q18" s="32">
        <f>'D-8'!J22-'D-8'!K22</f>
        <v>0</v>
      </c>
      <c r="R18" s="404">
        <f t="shared" si="3"/>
        <v>0</v>
      </c>
      <c r="S18" s="412">
        <f>'D-15'!M18-'D-15'!N18</f>
        <v>0</v>
      </c>
      <c r="T18" s="32">
        <f>'D-8'!M22-'D-8'!N22</f>
        <v>0</v>
      </c>
      <c r="U18" s="37">
        <f t="shared" si="4"/>
        <v>0</v>
      </c>
      <c r="V18" s="412">
        <f>'D-15'!P18-'D-15'!Q18</f>
        <v>0</v>
      </c>
      <c r="W18" s="32">
        <f>'D-8'!P22-'D-8'!Q22</f>
        <v>0</v>
      </c>
      <c r="X18" s="37">
        <f t="shared" si="5"/>
        <v>0</v>
      </c>
      <c r="Y18" s="412">
        <f>'D-15'!S18-'D-15'!T18</f>
        <v>0</v>
      </c>
      <c r="Z18" s="32">
        <f>'D-8'!S22-'D-8'!T22</f>
        <v>0</v>
      </c>
      <c r="AA18" s="37">
        <f t="shared" si="6"/>
        <v>0</v>
      </c>
      <c r="AB18" s="412">
        <f>'D-15'!V18-'D-15'!W18</f>
        <v>0</v>
      </c>
      <c r="AC18" s="32">
        <f>'D-8'!V22-'D-8'!W22</f>
        <v>0</v>
      </c>
      <c r="AD18" s="37">
        <f t="shared" si="7"/>
        <v>0</v>
      </c>
    </row>
    <row r="19" spans="1:30" ht="18" customHeight="1" x14ac:dyDescent="0.2">
      <c r="A19" s="39" t="s">
        <v>402</v>
      </c>
      <c r="B19" s="262" t="s">
        <v>84</v>
      </c>
      <c r="C19" s="37" t="e">
        <f>'D-15'!#REF!-'D-8'!#REF!-1.08</f>
        <v>#REF!</v>
      </c>
      <c r="D19" s="33" t="e">
        <f>'D-15'!#REF!-'D-15'!#REF!</f>
        <v>#REF!</v>
      </c>
      <c r="E19" s="32" t="e">
        <f>'D-8'!#REF!-'D-8'!#REF!</f>
        <v>#REF!</v>
      </c>
      <c r="F19" s="37" t="e">
        <f t="shared" si="0"/>
        <v>#REF!</v>
      </c>
      <c r="G19" s="33" t="e">
        <f>'D-15'!#REF!-'D-15'!#REF!</f>
        <v>#REF!</v>
      </c>
      <c r="H19" s="32" t="e">
        <f>'D-8'!#REF!-'D-8'!#REF!</f>
        <v>#REF!</v>
      </c>
      <c r="I19" s="37">
        <f>'D-15'!C19-'D-8'!C23</f>
        <v>2.0300000000000007</v>
      </c>
      <c r="J19" s="33">
        <f>'D-15'!D19-'D-15'!E19</f>
        <v>0.68641350000000001</v>
      </c>
      <c r="K19" s="32">
        <f>'D-8'!D23-'D-8'!E23</f>
        <v>0.191757974</v>
      </c>
      <c r="L19" s="404">
        <f t="shared" si="1"/>
        <v>2.5246555260000005</v>
      </c>
      <c r="M19" s="412">
        <f>'D-15'!G19-'D-15'!H19</f>
        <v>0.76</v>
      </c>
      <c r="N19" s="32">
        <f>'D-8'!G23-'D-8'!H23</f>
        <v>0.24</v>
      </c>
      <c r="O19" s="37">
        <f t="shared" si="2"/>
        <v>3.0446555260000006</v>
      </c>
      <c r="P19" s="33">
        <f>'D-15'!J19-'D-15'!K19</f>
        <v>0.34</v>
      </c>
      <c r="Q19" s="32">
        <f>'D-8'!J23-'D-8'!K23</f>
        <v>0.26</v>
      </c>
      <c r="R19" s="404">
        <f t="shared" si="3"/>
        <v>3.1246555260000006</v>
      </c>
      <c r="S19" s="412">
        <f>'D-15'!M19-'D-15'!N19</f>
        <v>0.48</v>
      </c>
      <c r="T19" s="32">
        <f>'D-8'!M23-'D-8'!N23</f>
        <v>0.27</v>
      </c>
      <c r="U19" s="37">
        <f t="shared" si="4"/>
        <v>3.3346555260000006</v>
      </c>
      <c r="V19" s="412">
        <f>'D-15'!P19-'D-15'!Q19</f>
        <v>1.6216609</v>
      </c>
      <c r="W19" s="32">
        <f>'D-8'!P23-'D-8'!Q23</f>
        <v>0.37190170600960004</v>
      </c>
      <c r="X19" s="37">
        <f t="shared" si="5"/>
        <v>4.5844147199904004</v>
      </c>
      <c r="Y19" s="412">
        <f>'D-15'!S19-'D-15'!T19</f>
        <v>1.0784637840632205</v>
      </c>
      <c r="Z19" s="32">
        <f>'D-8'!S23-'D-8'!T23</f>
        <v>0.36648705493068512</v>
      </c>
      <c r="AA19" s="37">
        <f t="shared" si="6"/>
        <v>5.296391449122936</v>
      </c>
      <c r="AB19" s="412">
        <f>'D-15'!V19-'D-15'!W19</f>
        <v>1.5208834321081144</v>
      </c>
      <c r="AC19" s="32">
        <f>'D-8'!V23-'D-8'!W23</f>
        <v>0.36115123770983704</v>
      </c>
      <c r="AD19" s="37">
        <f t="shared" si="7"/>
        <v>6.456123643521213</v>
      </c>
    </row>
    <row r="20" spans="1:30" x14ac:dyDescent="0.2">
      <c r="A20" s="39" t="s">
        <v>404</v>
      </c>
      <c r="B20" s="262" t="s">
        <v>547</v>
      </c>
      <c r="C20" s="37" t="e">
        <f>'D-15'!#REF!-'D-8'!#REF!+1.07</f>
        <v>#REF!</v>
      </c>
      <c r="D20" s="33" t="e">
        <f>'D-15'!#REF!-'D-15'!#REF!</f>
        <v>#REF!</v>
      </c>
      <c r="E20" s="32" t="e">
        <f>'D-8'!#REF!-'D-8'!#REF!</f>
        <v>#REF!</v>
      </c>
      <c r="F20" s="37" t="e">
        <f t="shared" si="0"/>
        <v>#REF!</v>
      </c>
      <c r="G20" s="33" t="e">
        <f>'D-15'!#REF!-'D-15'!#REF!</f>
        <v>#REF!</v>
      </c>
      <c r="H20" s="32" t="e">
        <f>'D-8'!#REF!-'D-8'!#REF!</f>
        <v>#REF!</v>
      </c>
      <c r="I20" s="37">
        <f>'D-15'!C20-'D-8'!C24</f>
        <v>0.60000000000000009</v>
      </c>
      <c r="J20" s="33">
        <f>'D-15'!D20-'D-15'!E20</f>
        <v>0.7979636</v>
      </c>
      <c r="K20" s="32">
        <f>'D-8'!D24-'D-8'!E24</f>
        <v>3.6878964E-2</v>
      </c>
      <c r="L20" s="404">
        <f t="shared" si="1"/>
        <v>1.3610846360000002</v>
      </c>
      <c r="M20" s="412">
        <f>'D-15'!G20-'D-15'!H20</f>
        <v>0.3</v>
      </c>
      <c r="N20" s="32">
        <f>'D-8'!G24-'D-8'!H24</f>
        <v>0.06</v>
      </c>
      <c r="O20" s="37">
        <f t="shared" si="2"/>
        <v>1.6010846360000002</v>
      </c>
      <c r="P20" s="33">
        <f>'D-15'!J20-'D-15'!K20</f>
        <v>1</v>
      </c>
      <c r="Q20" s="32">
        <f>'D-8'!J24-'D-8'!K24</f>
        <v>7.0000000000000007E-2</v>
      </c>
      <c r="R20" s="404">
        <f t="shared" si="3"/>
        <v>2.5310846360000006</v>
      </c>
      <c r="S20" s="412">
        <f>'D-15'!M20-'D-15'!N20</f>
        <v>1.45</v>
      </c>
      <c r="T20" s="32">
        <f>'D-8'!M24-'D-8'!N24</f>
        <v>0.13</v>
      </c>
      <c r="U20" s="37">
        <f t="shared" si="4"/>
        <v>3.8510846360000004</v>
      </c>
      <c r="V20" s="412">
        <f>'D-15'!P20-'D-15'!Q20</f>
        <v>0.6858862</v>
      </c>
      <c r="W20" s="32">
        <f>'D-8'!P24-'D-8'!Q24</f>
        <v>0.15780032771059996</v>
      </c>
      <c r="X20" s="37">
        <f t="shared" si="5"/>
        <v>4.3791705082894001</v>
      </c>
      <c r="Y20" s="412">
        <f>'D-15'!S20-'D-15'!T20</f>
        <v>0.45613939800160624</v>
      </c>
      <c r="Z20" s="32">
        <f>'D-8'!S24-'D-8'!T24</f>
        <v>0.15550285582250575</v>
      </c>
      <c r="AA20" s="37">
        <f t="shared" si="6"/>
        <v>4.6798070504685008</v>
      </c>
      <c r="AB20" s="412">
        <f>'D-15'!V20-'D-15'!W20</f>
        <v>0.64326207648688627</v>
      </c>
      <c r="AC20" s="32">
        <f>'D-8'!V24-'D-8'!W24</f>
        <v>0.15323883365630481</v>
      </c>
      <c r="AD20" s="37">
        <f t="shared" si="7"/>
        <v>5.1698302932990821</v>
      </c>
    </row>
    <row r="21" spans="1:30" x14ac:dyDescent="0.2">
      <c r="A21" s="39" t="s">
        <v>406</v>
      </c>
      <c r="B21" s="262" t="s">
        <v>74</v>
      </c>
      <c r="C21" s="37" t="e">
        <f>'D-15'!#REF!-'D-8'!#REF!+0.12</f>
        <v>#REF!</v>
      </c>
      <c r="D21" s="33" t="e">
        <f>'D-15'!#REF!-'D-15'!#REF!</f>
        <v>#REF!</v>
      </c>
      <c r="E21" s="32" t="e">
        <f>'D-8'!#REF!-'D-8'!#REF!</f>
        <v>#REF!</v>
      </c>
      <c r="F21" s="37" t="e">
        <f t="shared" si="0"/>
        <v>#REF!</v>
      </c>
      <c r="G21" s="33" t="e">
        <f>'D-15'!#REF!-'D-15'!#REF!</f>
        <v>#REF!</v>
      </c>
      <c r="H21" s="32" t="e">
        <f>'D-8'!#REF!-'D-8'!#REF!</f>
        <v>#REF!</v>
      </c>
      <c r="I21" s="37">
        <f>'D-15'!C21-'D-8'!C25</f>
        <v>6.67</v>
      </c>
      <c r="J21" s="33">
        <f>'D-15'!D21-'D-15'!E21</f>
        <v>5.7732367</v>
      </c>
      <c r="K21" s="32">
        <f>'D-8'!D25-'D-8'!E25</f>
        <v>1.46</v>
      </c>
      <c r="L21" s="404">
        <f t="shared" si="1"/>
        <v>10.983236699999999</v>
      </c>
      <c r="M21" s="412">
        <f>'D-15'!G21-'D-15'!H21</f>
        <v>1.03</v>
      </c>
      <c r="N21" s="32">
        <f>'D-8'!G25-'D-8'!H25</f>
        <v>1.4400000000000002</v>
      </c>
      <c r="O21" s="37">
        <f t="shared" si="2"/>
        <v>10.573236699999999</v>
      </c>
      <c r="P21" s="33">
        <f>'D-15'!J21-'D-15'!K21</f>
        <v>-0.05</v>
      </c>
      <c r="Q21" s="32">
        <f>'D-8'!J25-'D-8'!K25</f>
        <v>1.37</v>
      </c>
      <c r="R21" s="404">
        <f t="shared" si="3"/>
        <v>9.1532366999999972</v>
      </c>
      <c r="S21" s="412">
        <f>'D-15'!M21-'D-15'!N21</f>
        <v>8.49</v>
      </c>
      <c r="T21" s="32">
        <f>'D-8'!M25-'D-8'!N25</f>
        <v>1.45</v>
      </c>
      <c r="U21" s="37">
        <f t="shared" si="4"/>
        <v>16.193236699999996</v>
      </c>
      <c r="V21" s="412">
        <f>'D-15'!P21-'D-15'!Q21</f>
        <v>0.38903501100000004</v>
      </c>
      <c r="W21" s="32">
        <f>'D-8'!P25-'D-8'!Q25</f>
        <v>1.7309822669237998</v>
      </c>
      <c r="X21" s="37">
        <f t="shared" si="5"/>
        <v>14.851289444076198</v>
      </c>
      <c r="Y21" s="412">
        <f>'D-15'!S21-'D-15'!T21</f>
        <v>0.13278777151900101</v>
      </c>
      <c r="Z21" s="32">
        <f>'D-8'!S25-'D-8'!T25</f>
        <v>1.7057802717521517</v>
      </c>
      <c r="AA21" s="37">
        <f t="shared" si="6"/>
        <v>13.278296943843046</v>
      </c>
      <c r="AB21" s="412">
        <f>'D-15'!V21-'D-15'!W21</f>
        <v>0.43903242082808258</v>
      </c>
      <c r="AC21" s="32">
        <f>'D-8'!V25-'D-8'!W25</f>
        <v>1.6809452015183084</v>
      </c>
      <c r="AD21" s="37">
        <f t="shared" si="7"/>
        <v>12.036384163152819</v>
      </c>
    </row>
    <row r="22" spans="1:30" x14ac:dyDescent="0.2">
      <c r="A22" s="39" t="s">
        <v>408</v>
      </c>
      <c r="B22" s="262" t="s">
        <v>548</v>
      </c>
      <c r="C22" s="37" t="e">
        <f>'D-15'!#REF!-'D-8'!#REF!-0.23</f>
        <v>#REF!</v>
      </c>
      <c r="D22" s="33" t="e">
        <f>'D-15'!#REF!-'D-15'!#REF!</f>
        <v>#REF!</v>
      </c>
      <c r="E22" s="32" t="e">
        <f>'D-8'!#REF!-'D-8'!#REF!</f>
        <v>#REF!</v>
      </c>
      <c r="F22" s="37" t="e">
        <f t="shared" si="0"/>
        <v>#REF!</v>
      </c>
      <c r="G22" s="33" t="e">
        <f>'D-15'!#REF!-'D-15'!#REF!</f>
        <v>#REF!</v>
      </c>
      <c r="H22" s="32" t="e">
        <f>'D-8'!#REF!-'D-8'!#REF!</f>
        <v>#REF!</v>
      </c>
      <c r="I22" s="37">
        <f>'D-15'!C22-'D-8'!C26</f>
        <v>6.1300000000000008</v>
      </c>
      <c r="J22" s="33">
        <f>'D-15'!D22-'D-15'!E22</f>
        <v>1.9840669999999998</v>
      </c>
      <c r="K22" s="32">
        <f>'D-8'!D26-'D-8'!E26</f>
        <v>0.57999999999999996</v>
      </c>
      <c r="L22" s="404">
        <f t="shared" si="1"/>
        <v>7.5340670000000003</v>
      </c>
      <c r="M22" s="412">
        <f>'D-15'!G22-'D-15'!H22</f>
        <v>1.39</v>
      </c>
      <c r="N22" s="32">
        <f>'D-8'!G26-'D-8'!H26</f>
        <v>0.53200000000000003</v>
      </c>
      <c r="O22" s="37">
        <f t="shared" si="2"/>
        <v>8.3920670000000008</v>
      </c>
      <c r="P22" s="33">
        <f>'D-15'!J22-'D-15'!K22</f>
        <v>2.1999999999999997</v>
      </c>
      <c r="Q22" s="32">
        <f>'D-8'!J26-'D-8'!K26</f>
        <v>0.7</v>
      </c>
      <c r="R22" s="404">
        <f t="shared" si="3"/>
        <v>9.8920670000000008</v>
      </c>
      <c r="S22" s="412">
        <f>'D-15'!M22-'D-15'!N22</f>
        <v>2.34</v>
      </c>
      <c r="T22" s="32">
        <f>'D-8'!M26-'D-8'!N26</f>
        <v>0.77</v>
      </c>
      <c r="U22" s="37">
        <f t="shared" si="4"/>
        <v>11.462067000000001</v>
      </c>
      <c r="V22" s="412">
        <f>'D-15'!P22-'D-15'!Q22</f>
        <v>0.99517060563620019</v>
      </c>
      <c r="W22" s="32">
        <f>'D-8'!P26-'D-8'!Q26</f>
        <v>0.62576545204694012</v>
      </c>
      <c r="X22" s="37">
        <f t="shared" si="5"/>
        <v>11.831472153589262</v>
      </c>
      <c r="Y22" s="412">
        <f>'D-15'!S22-'D-15'!T22</f>
        <v>0.59245516292247835</v>
      </c>
      <c r="Z22" s="32">
        <f>'D-8'!S26-'D-8'!T26</f>
        <v>0.61665470712342474</v>
      </c>
      <c r="AA22" s="37">
        <f t="shared" si="6"/>
        <v>11.807272609388315</v>
      </c>
      <c r="AB22" s="412">
        <f>'D-15'!V22-'D-15'!W22</f>
        <v>0.9741839140739379</v>
      </c>
      <c r="AC22" s="32">
        <f>'D-8'!V26-'D-8'!W26</f>
        <v>0.60767660882140284</v>
      </c>
      <c r="AD22" s="37">
        <f t="shared" si="7"/>
        <v>12.17377991464085</v>
      </c>
    </row>
    <row r="23" spans="1:30" x14ac:dyDescent="0.2">
      <c r="A23" s="39" t="s">
        <v>382</v>
      </c>
      <c r="B23" s="262" t="s">
        <v>27</v>
      </c>
      <c r="C23" s="37" t="e">
        <f>'D-15'!#REF!-'D-8'!#REF!-0.32</f>
        <v>#REF!</v>
      </c>
      <c r="D23" s="33" t="e">
        <f>'D-15'!#REF!-'D-15'!#REF!</f>
        <v>#REF!</v>
      </c>
      <c r="E23" s="32" t="e">
        <f>'D-8'!#REF!-'D-8'!#REF!</f>
        <v>#REF!</v>
      </c>
      <c r="F23" s="37" t="e">
        <f t="shared" si="0"/>
        <v>#REF!</v>
      </c>
      <c r="G23" s="33" t="e">
        <f>'D-15'!#REF!-'D-15'!#REF!</f>
        <v>#REF!</v>
      </c>
      <c r="H23" s="32" t="e">
        <f>'D-8'!#REF!-'D-8'!#REF!</f>
        <v>#REF!</v>
      </c>
      <c r="I23" s="37">
        <f>'D-15'!C23-'D-8'!C27</f>
        <v>8.4129668818114496</v>
      </c>
      <c r="J23" s="33">
        <f>'D-15'!D23-'D-15'!E23</f>
        <v>2.0555228999999997</v>
      </c>
      <c r="K23" s="32">
        <f>'D-8'!D27-'D-8'!E27</f>
        <v>0.53</v>
      </c>
      <c r="L23" s="404">
        <f t="shared" si="1"/>
        <v>9.9384897818114499</v>
      </c>
      <c r="M23" s="412">
        <f>'D-15'!G23-'D-15'!H23</f>
        <v>0.46</v>
      </c>
      <c r="N23" s="32">
        <f>'D-8'!G27-'D-8'!H27</f>
        <v>0.54300000000000004</v>
      </c>
      <c r="O23" s="37">
        <f t="shared" si="2"/>
        <v>9.8554897818114515</v>
      </c>
      <c r="P23" s="33">
        <f>'D-15'!J23-'D-15'!K23</f>
        <v>1.27</v>
      </c>
      <c r="Q23" s="32">
        <f>'D-8'!J27-'D-8'!K27</f>
        <v>0.54</v>
      </c>
      <c r="R23" s="404">
        <f t="shared" si="3"/>
        <v>10.58548978181145</v>
      </c>
      <c r="S23" s="412">
        <f>'D-15'!M23-'D-15'!N23</f>
        <v>3</v>
      </c>
      <c r="T23" s="32">
        <f>'D-8'!M27-'D-8'!N27</f>
        <v>1.27</v>
      </c>
      <c r="U23" s="37">
        <f t="shared" si="4"/>
        <v>12.315489781811451</v>
      </c>
      <c r="V23" s="412">
        <f>'D-15'!P23-'D-15'!Q23</f>
        <v>1.0052914441170002</v>
      </c>
      <c r="W23" s="32">
        <f>'D-8'!P27-'D-8'!Q27</f>
        <v>1.0273132287052202</v>
      </c>
      <c r="X23" s="37">
        <f t="shared" si="5"/>
        <v>12.293467997223232</v>
      </c>
      <c r="Y23" s="412">
        <f>'D-15'!S23-'D-15'!T23</f>
        <v>0.632693229783164</v>
      </c>
      <c r="Z23" s="32">
        <f>'D-8'!S27-'D-8'!T27</f>
        <v>1.012356204867183</v>
      </c>
      <c r="AA23" s="37">
        <f t="shared" si="6"/>
        <v>11.913805022139213</v>
      </c>
      <c r="AB23" s="412">
        <f>'D-15'!V23-'D-15'!W23</f>
        <v>0.96394043270131935</v>
      </c>
      <c r="AC23" s="32">
        <f>'D-8'!V27-'D-8'!W27</f>
        <v>0.99761694573404858</v>
      </c>
      <c r="AD23" s="37">
        <f t="shared" si="7"/>
        <v>11.880128509106484</v>
      </c>
    </row>
    <row r="24" spans="1:30" ht="13.5" thickBot="1" x14ac:dyDescent="0.25">
      <c r="A24" s="41">
        <v>11</v>
      </c>
      <c r="B24" s="261" t="s">
        <v>863</v>
      </c>
      <c r="C24" s="38"/>
      <c r="D24" s="33"/>
      <c r="E24" s="32"/>
      <c r="F24" s="38"/>
      <c r="G24" s="33"/>
      <c r="H24" s="32"/>
      <c r="I24" s="38">
        <f>34.87-11.62</f>
        <v>23.25</v>
      </c>
      <c r="J24" s="33"/>
      <c r="K24" s="32"/>
      <c r="L24" s="405">
        <f>40.87-8.29</f>
        <v>32.58</v>
      </c>
      <c r="M24" s="63"/>
      <c r="N24" s="64"/>
      <c r="O24" s="407">
        <v>42.47</v>
      </c>
      <c r="P24" s="183"/>
      <c r="Q24" s="64"/>
      <c r="R24" s="408">
        <v>65.819999999999993</v>
      </c>
      <c r="S24" s="63"/>
      <c r="T24" s="64"/>
      <c r="U24" s="407">
        <v>64.59</v>
      </c>
      <c r="V24" s="63"/>
      <c r="W24" s="64"/>
      <c r="X24" s="407"/>
      <c r="Y24" s="63"/>
      <c r="Z24" s="64"/>
      <c r="AA24" s="407"/>
      <c r="AB24" s="63"/>
      <c r="AC24" s="64"/>
      <c r="AD24" s="407"/>
    </row>
    <row r="25" spans="1:30" ht="13.5" thickBot="1" x14ac:dyDescent="0.25">
      <c r="A25" s="42"/>
      <c r="B25" s="359" t="s">
        <v>357</v>
      </c>
      <c r="C25" s="81" t="e">
        <f>SUM(C10:C23)</f>
        <v>#REF!</v>
      </c>
      <c r="D25" s="34" t="e">
        <f t="shared" ref="D25:T25" si="8">SUM(D10:D23)</f>
        <v>#REF!</v>
      </c>
      <c r="E25" s="34" t="e">
        <f t="shared" si="8"/>
        <v>#REF!</v>
      </c>
      <c r="F25" s="81" t="e">
        <f t="shared" si="8"/>
        <v>#REF!</v>
      </c>
      <c r="G25" s="34" t="e">
        <f t="shared" si="8"/>
        <v>#REF!</v>
      </c>
      <c r="H25" s="34" t="e">
        <f t="shared" si="8"/>
        <v>#REF!</v>
      </c>
      <c r="I25" s="81">
        <f>SUM(I10:I24)</f>
        <v>5080.7089338271089</v>
      </c>
      <c r="J25" s="34">
        <f t="shared" si="8"/>
        <v>1826.3842830000001</v>
      </c>
      <c r="K25" s="34">
        <f t="shared" si="8"/>
        <v>354.21863693799997</v>
      </c>
      <c r="L25" s="406">
        <f>SUM(L10:L24)</f>
        <v>6562.2045798891077</v>
      </c>
      <c r="M25" s="413">
        <f t="shared" si="8"/>
        <v>1497.3679999999999</v>
      </c>
      <c r="N25" s="34">
        <f t="shared" si="8"/>
        <v>435.01</v>
      </c>
      <c r="O25" s="81">
        <f>SUM(O10:O24)</f>
        <v>7634.4525798891082</v>
      </c>
      <c r="P25" s="34">
        <f t="shared" si="8"/>
        <v>1557.8100000000002</v>
      </c>
      <c r="Q25" s="34">
        <f t="shared" si="8"/>
        <v>494.37</v>
      </c>
      <c r="R25" s="406">
        <f>SUM(R10:R24)</f>
        <v>8721.2425798891109</v>
      </c>
      <c r="S25" s="413">
        <f t="shared" si="8"/>
        <v>2630.66</v>
      </c>
      <c r="T25" s="34">
        <f t="shared" si="8"/>
        <v>619.63</v>
      </c>
      <c r="U25" s="81">
        <f>SUM(U10:U24)</f>
        <v>10814.04257988911</v>
      </c>
      <c r="V25" s="413">
        <f t="shared" ref="V25:AA25" si="9">SUM(V10:V23)</f>
        <v>3049.1565109045437</v>
      </c>
      <c r="W25" s="34">
        <f t="shared" si="9"/>
        <v>804.76535236709344</v>
      </c>
      <c r="X25" s="81">
        <f t="shared" si="9"/>
        <v>13076.843738426562</v>
      </c>
      <c r="Y25" s="413">
        <f t="shared" si="9"/>
        <v>1980.6434792689147</v>
      </c>
      <c r="Z25" s="34">
        <f t="shared" si="9"/>
        <v>793.04848333139364</v>
      </c>
      <c r="AA25" s="81">
        <f t="shared" si="9"/>
        <v>14347.438734364083</v>
      </c>
      <c r="AB25" s="413">
        <f>SUM(AB10:AB23)</f>
        <v>2887.4427702723642</v>
      </c>
      <c r="AC25" s="34">
        <f>SUM(AC10:AC23)</f>
        <v>781.50220441813883</v>
      </c>
      <c r="AD25" s="81">
        <f>SUM(AD10:AD23)</f>
        <v>16536.379300218305</v>
      </c>
    </row>
    <row r="26" spans="1:30" x14ac:dyDescent="0.2">
      <c r="U26" s="1444"/>
      <c r="AA26" s="505"/>
      <c r="AD26" s="505"/>
    </row>
    <row r="27" spans="1:30" x14ac:dyDescent="0.2">
      <c r="A27" s="84"/>
      <c r="B27" s="84"/>
      <c r="C27" s="76"/>
      <c r="F27" s="65"/>
      <c r="I27" s="65"/>
      <c r="J27" s="76"/>
      <c r="L27" s="65"/>
      <c r="O27" s="65"/>
      <c r="S27" s="903"/>
    </row>
    <row r="28" spans="1:30" x14ac:dyDescent="0.2">
      <c r="C28" s="76"/>
      <c r="F28" s="76"/>
      <c r="I28" s="76"/>
      <c r="L28" s="76"/>
      <c r="S28" s="65">
        <f>'D-15'!M25</f>
        <v>2909.67</v>
      </c>
      <c r="T28" s="62">
        <v>732.19</v>
      </c>
      <c r="V28" s="65">
        <f>'D-15'!P25</f>
        <v>3390.8735568062616</v>
      </c>
      <c r="W28" s="65">
        <f>'D-8'!P29</f>
        <v>994.74535236709346</v>
      </c>
      <c r="Y28" s="65">
        <f>'D-15'!S25</f>
        <v>2255.0548806801676</v>
      </c>
      <c r="Z28" s="65">
        <f>'D-8'!S29</f>
        <v>980.26249598756112</v>
      </c>
    </row>
    <row r="29" spans="1:30" x14ac:dyDescent="0.2">
      <c r="R29" s="1195" t="s">
        <v>1139</v>
      </c>
      <c r="S29" s="505">
        <f>S28-S25</f>
        <v>279.01000000000022</v>
      </c>
      <c r="T29" s="76">
        <f>T28-T25</f>
        <v>112.56000000000006</v>
      </c>
      <c r="V29" s="505">
        <f>V28-V25</f>
        <v>341.71704590171794</v>
      </c>
      <c r="W29" s="505">
        <f>W28-W25</f>
        <v>189.98000000000002</v>
      </c>
      <c r="X29" s="505"/>
      <c r="Y29" s="505">
        <f>Y28-Y25</f>
        <v>274.41140141125288</v>
      </c>
      <c r="Z29" s="505">
        <f>Z28-Z25</f>
        <v>187.21401265616748</v>
      </c>
    </row>
    <row r="30" spans="1:30" x14ac:dyDescent="0.2">
      <c r="R30" s="1195" t="s">
        <v>1140</v>
      </c>
      <c r="S30" s="65">
        <f>'D-15'!N25</f>
        <v>255.9</v>
      </c>
      <c r="T30" s="62">
        <f>'D-8'!N29</f>
        <v>202.8</v>
      </c>
      <c r="V30" s="65">
        <f>'D-15'!Q25</f>
        <v>333.43248370171892</v>
      </c>
      <c r="W30" s="65">
        <f>'D-8'!Q28</f>
        <v>241.21168239000002</v>
      </c>
      <c r="Y30" s="65">
        <f>'D-15'!T25</f>
        <v>270.03901526394378</v>
      </c>
      <c r="Z30" s="65">
        <f>'D-8'!T28</f>
        <v>202.42897789438365</v>
      </c>
    </row>
    <row r="31" spans="1:30" x14ac:dyDescent="0.2">
      <c r="R31" s="1195" t="s">
        <v>1141</v>
      </c>
      <c r="S31" s="76">
        <f>S29-S30</f>
        <v>23.110000000000213</v>
      </c>
      <c r="T31" s="76">
        <f t="shared" ref="T31:Z31" si="10">T29-T30</f>
        <v>-90.239999999999952</v>
      </c>
      <c r="U31" s="76">
        <f t="shared" si="10"/>
        <v>0</v>
      </c>
      <c r="V31" s="76">
        <f t="shared" si="10"/>
        <v>8.2845621999990158</v>
      </c>
      <c r="W31" s="76">
        <f t="shared" si="10"/>
        <v>-51.231682390000003</v>
      </c>
      <c r="X31" s="76">
        <f t="shared" si="10"/>
        <v>0</v>
      </c>
      <c r="Y31" s="76">
        <f t="shared" si="10"/>
        <v>4.3723861473091006</v>
      </c>
      <c r="Z31" s="76">
        <f t="shared" si="10"/>
        <v>-15.214965238216166</v>
      </c>
    </row>
    <row r="32" spans="1:30" x14ac:dyDescent="0.2">
      <c r="T32" s="62">
        <f>T28-T30</f>
        <v>529.3900000000001</v>
      </c>
    </row>
  </sheetData>
  <customSheetViews>
    <customSheetView guid="{80837D84-6D11-4A5F-87D7-272A542EF21A}" showGridLines="0" fitToPage="1" showRuler="0" topLeftCell="C17">
      <selection activeCell="O30" sqref="O30"/>
      <pageMargins left="0.75" right="0.75" top="1" bottom="1" header="0.5" footer="0.5"/>
      <printOptions gridLines="1"/>
      <pageSetup scale="84" orientation="landscape" horizontalDpi="180" verticalDpi="180" r:id="rId1"/>
      <headerFooter alignWithMargins="0"/>
    </customSheetView>
    <customSheetView guid="{5FF41722-DC20-49D9-9ED5-FEC8C9404ECB}" showPageBreaks="1" showGridLines="0" fitToPage="1" printArea="1" showRuler="0" topLeftCell="C17">
      <selection activeCell="O30" sqref="O30"/>
      <pageMargins left="0.75" right="0.75" top="1" bottom="1" header="0.5" footer="0.5"/>
      <printOptions gridLines="1"/>
      <pageSetup scale="81" orientation="landscape" horizontalDpi="180" verticalDpi="180" r:id="rId2"/>
      <headerFooter alignWithMargins="0"/>
    </customSheetView>
    <customSheetView guid="{23A957A0-E704-4A72-A26E-A4FA7FC4849F}" showPageBreaks="1" showGridLines="0" fitToPage="1" printArea="1" showRuler="0" topLeftCell="C17">
      <selection activeCell="O30" sqref="O30"/>
      <pageMargins left="0.75" right="0.75" top="1" bottom="1" header="0.5" footer="0.5"/>
      <printOptions gridLines="1"/>
      <pageSetup scale="81" orientation="landscape" horizontalDpi="180" verticalDpi="180" r:id="rId3"/>
      <headerFooter alignWithMargins="0"/>
    </customSheetView>
  </customSheetViews>
  <mergeCells count="39">
    <mergeCell ref="D7:D8"/>
    <mergeCell ref="P6:R6"/>
    <mergeCell ref="A6:A8"/>
    <mergeCell ref="B6:B8"/>
    <mergeCell ref="C7:C8"/>
    <mergeCell ref="F7:F8"/>
    <mergeCell ref="D6:F6"/>
    <mergeCell ref="N7:N8"/>
    <mergeCell ref="M7:M8"/>
    <mergeCell ref="J7:J8"/>
    <mergeCell ref="K7:K8"/>
    <mergeCell ref="Y7:Y8"/>
    <mergeCell ref="E7:E8"/>
    <mergeCell ref="W7:W8"/>
    <mergeCell ref="X7:X8"/>
    <mergeCell ref="AA7:AA8"/>
    <mergeCell ref="U7:U8"/>
    <mergeCell ref="R7:R8"/>
    <mergeCell ref="Q7:Q8"/>
    <mergeCell ref="Z7:Z8"/>
    <mergeCell ref="T7:T8"/>
    <mergeCell ref="S7:S8"/>
    <mergeCell ref="G6:I6"/>
    <mergeCell ref="G7:G8"/>
    <mergeCell ref="H7:H8"/>
    <mergeCell ref="Y6:AA6"/>
    <mergeCell ref="V7:V8"/>
    <mergeCell ref="P7:P8"/>
    <mergeCell ref="M6:O6"/>
    <mergeCell ref="J6:L6"/>
    <mergeCell ref="I7:I8"/>
    <mergeCell ref="AB6:AD6"/>
    <mergeCell ref="AB7:AB8"/>
    <mergeCell ref="AC7:AC8"/>
    <mergeCell ref="AD7:AD8"/>
    <mergeCell ref="S6:U6"/>
    <mergeCell ref="V6:X6"/>
    <mergeCell ref="O7:O8"/>
    <mergeCell ref="L7:L8"/>
  </mergeCells>
  <phoneticPr fontId="0" type="noConversion"/>
  <printOptions horizontalCentered="1" gridLines="1"/>
  <pageMargins left="0.49803149600000002" right="0.49803149600000002" top="0.734251969" bottom="0.734251969" header="0.511811023622047" footer="0.511811023622047"/>
  <pageSetup paperSize="9" orientation="landscape" r:id="rId4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65179"/>
  <sheetViews>
    <sheetView showGridLines="0" zoomScaleNormal="100" workbookViewId="0">
      <selection sqref="A1:J18"/>
    </sheetView>
  </sheetViews>
  <sheetFormatPr defaultRowHeight="12.75" x14ac:dyDescent="0.2"/>
  <cols>
    <col min="1" max="1" width="26.140625" style="56" customWidth="1"/>
    <col min="2" max="4" width="9.140625" style="56" hidden="1" customWidth="1"/>
    <col min="5" max="5" width="0" style="56" hidden="1" customWidth="1"/>
    <col min="6" max="6" width="9.85546875" style="56" hidden="1" customWidth="1"/>
    <col min="7" max="7" width="9.140625" style="56" hidden="1" customWidth="1"/>
    <col min="8" max="8" width="9.140625" style="56"/>
    <col min="9" max="9" width="10.140625" style="56" customWidth="1"/>
    <col min="10" max="10" width="10.42578125" style="56" customWidth="1"/>
    <col min="11" max="16384" width="9.140625" style="56"/>
  </cols>
  <sheetData>
    <row r="1" spans="1:10" x14ac:dyDescent="0.2">
      <c r="A1" s="46" t="s">
        <v>499</v>
      </c>
      <c r="H1" s="1775"/>
      <c r="J1" s="1775" t="s">
        <v>607</v>
      </c>
    </row>
    <row r="2" spans="1:10" x14ac:dyDescent="0.2">
      <c r="H2" s="46" t="s">
        <v>608</v>
      </c>
    </row>
    <row r="3" spans="1:10" ht="13.5" thickBot="1" x14ac:dyDescent="0.25">
      <c r="A3" s="45"/>
      <c r="H3" s="56" t="s">
        <v>728</v>
      </c>
    </row>
    <row r="4" spans="1:10" ht="13.5" thickBot="1" x14ac:dyDescent="0.25">
      <c r="A4" s="83" t="s">
        <v>109</v>
      </c>
    </row>
    <row r="5" spans="1:10" x14ac:dyDescent="0.2">
      <c r="H5" s="270" t="s">
        <v>116</v>
      </c>
    </row>
    <row r="6" spans="1:10" x14ac:dyDescent="0.2">
      <c r="A6" s="2019"/>
      <c r="B6" s="3"/>
      <c r="C6" s="3"/>
      <c r="D6" s="3"/>
      <c r="E6" s="3"/>
      <c r="F6" s="3"/>
      <c r="G6" s="3"/>
      <c r="H6" s="876"/>
      <c r="I6" s="876"/>
      <c r="J6" s="876"/>
    </row>
    <row r="7" spans="1:10" x14ac:dyDescent="0.2">
      <c r="A7" s="2019"/>
      <c r="B7" s="3" t="s">
        <v>629</v>
      </c>
      <c r="C7" s="3" t="s">
        <v>630</v>
      </c>
      <c r="D7" s="3" t="s">
        <v>631</v>
      </c>
      <c r="E7" s="3" t="s">
        <v>763</v>
      </c>
      <c r="F7" s="3" t="s">
        <v>764</v>
      </c>
      <c r="G7" s="3" t="s">
        <v>765</v>
      </c>
      <c r="H7" s="3" t="s">
        <v>875</v>
      </c>
      <c r="I7" s="3" t="s">
        <v>876</v>
      </c>
      <c r="J7" s="3" t="s">
        <v>877</v>
      </c>
    </row>
    <row r="8" spans="1:10" x14ac:dyDescent="0.2">
      <c r="A8" s="879" t="s">
        <v>594</v>
      </c>
      <c r="B8" s="904">
        <v>1004.41</v>
      </c>
      <c r="C8" s="904" t="e">
        <f>B17</f>
        <v>#REF!</v>
      </c>
      <c r="D8" s="904">
        <v>1373.85</v>
      </c>
      <c r="E8" s="905">
        <f>D17</f>
        <v>502.5609443999997</v>
      </c>
      <c r="F8" s="905">
        <v>961.3</v>
      </c>
      <c r="G8" s="905">
        <f>F17</f>
        <v>1188.7999999999997</v>
      </c>
      <c r="H8" s="905">
        <f>G17</f>
        <v>1276.7600000000002</v>
      </c>
      <c r="I8" s="905">
        <f>H17</f>
        <v>1010.4964431937392</v>
      </c>
      <c r="J8" s="905">
        <f>I17</f>
        <v>1255.4374563945717</v>
      </c>
    </row>
    <row r="9" spans="1:10" x14ac:dyDescent="0.2">
      <c r="A9" s="876"/>
      <c r="B9" s="904"/>
      <c r="C9" s="904"/>
      <c r="D9" s="904"/>
      <c r="E9" s="876"/>
      <c r="F9" s="876"/>
      <c r="G9" s="876"/>
      <c r="H9" s="876"/>
      <c r="I9" s="876"/>
      <c r="J9" s="876"/>
    </row>
    <row r="10" spans="1:10" ht="18.75" customHeight="1" x14ac:dyDescent="0.2">
      <c r="A10" s="876" t="s">
        <v>595</v>
      </c>
      <c r="B10" s="904"/>
      <c r="C10" s="904"/>
      <c r="D10" s="904"/>
      <c r="E10" s="876"/>
      <c r="F10" s="876"/>
      <c r="G10" s="876"/>
      <c r="H10" s="876"/>
      <c r="I10" s="876"/>
      <c r="J10" s="876"/>
    </row>
    <row r="11" spans="1:10" ht="15" x14ac:dyDescent="0.2">
      <c r="A11" s="876" t="s">
        <v>596</v>
      </c>
      <c r="B11" s="91">
        <f>848+376.12-50.22</f>
        <v>1173.8999999999999</v>
      </c>
      <c r="C11" s="91">
        <f>1584.85+198</f>
        <v>1782.85</v>
      </c>
      <c r="D11" s="91">
        <v>1154</v>
      </c>
      <c r="E11" s="91">
        <v>961.3</v>
      </c>
      <c r="F11" s="906">
        <v>2239.2199999999998</v>
      </c>
      <c r="G11" s="907">
        <v>2997.63</v>
      </c>
      <c r="H11" s="907">
        <v>3124.61</v>
      </c>
      <c r="I11" s="907">
        <f>'[31]chapter-4'!$I$57</f>
        <v>2499.995893881</v>
      </c>
      <c r="J11" s="1707">
        <f>'[31]chapter-4'!$J$57</f>
        <v>3878</v>
      </c>
    </row>
    <row r="12" spans="1:10" ht="25.5" x14ac:dyDescent="0.2">
      <c r="A12" s="908" t="s">
        <v>597</v>
      </c>
      <c r="B12" s="876"/>
      <c r="C12" s="876"/>
      <c r="D12" s="876"/>
      <c r="E12" s="876"/>
      <c r="F12" s="876"/>
      <c r="G12" s="876"/>
      <c r="H12" s="876"/>
      <c r="I12" s="876"/>
      <c r="J12" s="876"/>
    </row>
    <row r="13" spans="1:10" ht="25.5" x14ac:dyDescent="0.2">
      <c r="A13" s="187" t="s">
        <v>598</v>
      </c>
      <c r="B13" s="876"/>
      <c r="C13" s="876"/>
      <c r="D13" s="876"/>
      <c r="E13" s="876"/>
      <c r="F13" s="876"/>
      <c r="G13" s="876"/>
      <c r="H13" s="876"/>
      <c r="I13" s="876"/>
      <c r="J13" s="876"/>
    </row>
    <row r="14" spans="1:10" ht="25.5" x14ac:dyDescent="0.2">
      <c r="A14" s="685" t="s">
        <v>361</v>
      </c>
      <c r="B14" s="904">
        <f t="shared" ref="B14:J14" si="0">B8+B11</f>
        <v>2178.31</v>
      </c>
      <c r="C14" s="904" t="e">
        <f t="shared" si="0"/>
        <v>#REF!</v>
      </c>
      <c r="D14" s="904">
        <f t="shared" si="0"/>
        <v>2527.85</v>
      </c>
      <c r="E14" s="904">
        <f t="shared" si="0"/>
        <v>1463.8609443999997</v>
      </c>
      <c r="F14" s="904">
        <f t="shared" si="0"/>
        <v>3200.5199999999995</v>
      </c>
      <c r="G14" s="904">
        <f t="shared" si="0"/>
        <v>4186.43</v>
      </c>
      <c r="H14" s="904">
        <f t="shared" si="0"/>
        <v>4401.3700000000008</v>
      </c>
      <c r="I14" s="904">
        <f t="shared" si="0"/>
        <v>3510.4923370747392</v>
      </c>
      <c r="J14" s="904">
        <f t="shared" si="0"/>
        <v>5133.4374563945712</v>
      </c>
    </row>
    <row r="15" spans="1:10" ht="33" customHeight="1" x14ac:dyDescent="0.2">
      <c r="A15" s="187" t="s">
        <v>362</v>
      </c>
      <c r="B15" s="909" t="e">
        <f>'D-15'!#REF!</f>
        <v>#REF!</v>
      </c>
      <c r="C15" s="909" t="e">
        <f>'D-15'!#REF!</f>
        <v>#REF!</v>
      </c>
      <c r="D15" s="909">
        <f>'D-15'!D25</f>
        <v>2025.2890556000002</v>
      </c>
      <c r="E15" s="909">
        <f>'D-15'!G25</f>
        <v>1698.3979999999999</v>
      </c>
      <c r="F15" s="909">
        <f>'D-15'!J25</f>
        <v>2011.7199999999998</v>
      </c>
      <c r="G15" s="909">
        <f>'D-15'!M25</f>
        <v>2909.67</v>
      </c>
      <c r="H15" s="909">
        <f>'D-15'!P25</f>
        <v>3390.8735568062616</v>
      </c>
      <c r="I15" s="909">
        <f>'D-15'!S25</f>
        <v>2255.0548806801676</v>
      </c>
      <c r="J15" s="909">
        <f>'D-15'!V25</f>
        <v>3180.1490761232249</v>
      </c>
    </row>
    <row r="16" spans="1:10" x14ac:dyDescent="0.2">
      <c r="A16" s="876" t="s">
        <v>32</v>
      </c>
      <c r="B16" s="876"/>
      <c r="C16" s="876"/>
      <c r="D16" s="876"/>
      <c r="E16" s="876"/>
      <c r="F16" s="876"/>
      <c r="G16" s="876"/>
      <c r="H16" s="876"/>
      <c r="I16" s="876"/>
      <c r="J16" s="876"/>
    </row>
    <row r="17" spans="1:10" x14ac:dyDescent="0.2">
      <c r="A17" s="879" t="s">
        <v>363</v>
      </c>
      <c r="B17" s="904" t="e">
        <f t="shared" ref="B17:I17" si="1">B14-B15</f>
        <v>#REF!</v>
      </c>
      <c r="C17" s="904" t="e">
        <f t="shared" si="1"/>
        <v>#REF!</v>
      </c>
      <c r="D17" s="904">
        <f t="shared" si="1"/>
        <v>502.5609443999997</v>
      </c>
      <c r="E17" s="910">
        <v>1006.65</v>
      </c>
      <c r="F17" s="904">
        <f>F14-F15</f>
        <v>1188.7999999999997</v>
      </c>
      <c r="G17" s="904">
        <f t="shared" si="1"/>
        <v>1276.7600000000002</v>
      </c>
      <c r="H17" s="904">
        <f t="shared" si="1"/>
        <v>1010.4964431937392</v>
      </c>
      <c r="I17" s="904">
        <f t="shared" si="1"/>
        <v>1255.4374563945717</v>
      </c>
      <c r="J17" s="904">
        <f>J14-J15</f>
        <v>1953.2883802713463</v>
      </c>
    </row>
    <row r="18" spans="1:10" x14ac:dyDescent="0.2">
      <c r="A18" s="876"/>
      <c r="B18" s="876"/>
      <c r="C18" s="876"/>
      <c r="D18" s="876"/>
      <c r="E18" s="91"/>
      <c r="F18" s="876"/>
      <c r="G18" s="876"/>
      <c r="H18" s="876"/>
      <c r="I18" s="876"/>
      <c r="J18" s="876"/>
    </row>
    <row r="19" spans="1:10" x14ac:dyDescent="0.2">
      <c r="C19" s="50"/>
      <c r="D19" s="50"/>
      <c r="G19" s="1196"/>
    </row>
    <row r="20" spans="1:10" x14ac:dyDescent="0.2">
      <c r="D20" s="50"/>
      <c r="F20" s="1196"/>
      <c r="G20" s="1196"/>
      <c r="H20" s="1196"/>
      <c r="I20" s="1196"/>
    </row>
    <row r="21" spans="1:10" x14ac:dyDescent="0.2">
      <c r="E21" s="50"/>
      <c r="F21" s="1196"/>
      <c r="G21" s="1196"/>
    </row>
    <row r="22" spans="1:10" x14ac:dyDescent="0.2">
      <c r="C22" s="50"/>
      <c r="E22" s="50"/>
    </row>
    <row r="24" spans="1:10" x14ac:dyDescent="0.2">
      <c r="G24" s="1196"/>
    </row>
    <row r="26" spans="1:10" x14ac:dyDescent="0.2">
      <c r="G26" s="1196"/>
    </row>
    <row r="65179" spans="4:4" x14ac:dyDescent="0.2">
      <c r="D65179" s="56" t="e">
        <f>#REF!+1</f>
        <v>#REF!</v>
      </c>
    </row>
  </sheetData>
  <customSheetViews>
    <customSheetView guid="{80837D84-6D11-4A5F-87D7-272A542EF21A}" showGridLines="0" showRuler="0">
      <selection activeCell="E16" sqref="E16"/>
      <pageMargins left="0.75" right="0.75" top="1" bottom="1" header="0.5" footer="0.5"/>
      <printOptions horizontalCentered="1" gridLines="1"/>
      <pageSetup paperSize="9" scale="110" orientation="landscape" horizontalDpi="180" verticalDpi="180" r:id="rId1"/>
      <headerFooter alignWithMargins="0"/>
    </customSheetView>
    <customSheetView guid="{5FF41722-DC20-49D9-9ED5-FEC8C9404ECB}" showPageBreaks="1" showGridLines="0" printArea="1" showRuler="0">
      <selection activeCell="E16" sqref="E16"/>
      <pageMargins left="0.75" right="0.75" top="1" bottom="1" header="0.5" footer="0.5"/>
      <printOptions horizontalCentered="1" gridLines="1"/>
      <pageSetup paperSize="9" scale="110" orientation="landscape" horizontalDpi="180" verticalDpi="180" r:id="rId2"/>
      <headerFooter alignWithMargins="0"/>
    </customSheetView>
    <customSheetView guid="{23A957A0-E704-4A72-A26E-A4FA7FC4849F}" showPageBreaks="1" showGridLines="0" printArea="1" showRuler="0">
      <selection activeCell="E16" sqref="E16"/>
      <pageMargins left="0.75" right="0.75" top="1" bottom="1" header="0.5" footer="0.5"/>
      <printOptions horizontalCentered="1" gridLines="1"/>
      <pageSetup paperSize="9" scale="110" orientation="landscape" horizontalDpi="180" verticalDpi="180" r:id="rId3"/>
      <headerFooter alignWithMargins="0"/>
    </customSheetView>
  </customSheetViews>
  <mergeCells count="1">
    <mergeCell ref="A6:A7"/>
  </mergeCells>
  <phoneticPr fontId="0" type="noConversion"/>
  <printOptions horizontalCentered="1" gridLines="1"/>
  <pageMargins left="0.75" right="0.75" top="1" bottom="1" header="0.5" footer="0.5"/>
  <pageSetup paperSize="9" scale="110" orientation="portrait" r:id="rId4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36"/>
  <sheetViews>
    <sheetView showGridLines="0" zoomScaleNormal="75" workbookViewId="0">
      <selection sqref="A1:L36"/>
    </sheetView>
  </sheetViews>
  <sheetFormatPr defaultRowHeight="12.75" x14ac:dyDescent="0.2"/>
  <cols>
    <col min="1" max="1" width="7" style="16" customWidth="1"/>
    <col min="2" max="2" width="25.5703125" style="16" customWidth="1"/>
    <col min="3" max="3" width="10.5703125" style="16" customWidth="1"/>
    <col min="4" max="4" width="11.7109375" style="16" customWidth="1"/>
    <col min="5" max="5" width="8.28515625" style="16" customWidth="1"/>
    <col min="6" max="6" width="8.140625" style="16" customWidth="1"/>
    <col min="7" max="7" width="12.140625" style="16" customWidth="1"/>
    <col min="8" max="8" width="10.28515625" style="16" customWidth="1"/>
    <col min="9" max="9" width="8.42578125" style="16" customWidth="1"/>
    <col min="10" max="10" width="7.85546875" style="16" customWidth="1"/>
    <col min="11" max="11" width="10.5703125" style="16" customWidth="1"/>
    <col min="12" max="12" width="10.140625" style="16" customWidth="1"/>
    <col min="13" max="16384" width="9.140625" style="16"/>
  </cols>
  <sheetData>
    <row r="1" spans="1:13" x14ac:dyDescent="0.2">
      <c r="A1" s="5" t="s">
        <v>499</v>
      </c>
      <c r="K1" s="2020" t="s">
        <v>526</v>
      </c>
      <c r="L1" s="2021"/>
    </row>
    <row r="2" spans="1:13" x14ac:dyDescent="0.2">
      <c r="A2" s="1781" t="s">
        <v>527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</row>
    <row r="3" spans="1:13" x14ac:dyDescent="0.2">
      <c r="A3" s="2022" t="s">
        <v>1340</v>
      </c>
      <c r="B3" s="1781"/>
      <c r="C3" s="1781"/>
      <c r="D3" s="1781"/>
      <c r="E3" s="1781"/>
      <c r="F3" s="1781"/>
      <c r="G3" s="1781"/>
      <c r="H3" s="1781"/>
      <c r="I3" s="1781"/>
      <c r="J3" s="1781"/>
      <c r="K3" s="1781"/>
      <c r="L3" s="1781"/>
      <c r="M3" s="173"/>
    </row>
    <row r="4" spans="1:13" x14ac:dyDescent="0.2">
      <c r="L4" s="5" t="s">
        <v>116</v>
      </c>
    </row>
    <row r="5" spans="1:13" x14ac:dyDescent="0.2">
      <c r="A5" s="2024" t="s">
        <v>220</v>
      </c>
      <c r="B5" s="2008" t="s">
        <v>528</v>
      </c>
      <c r="C5" s="2027" t="s">
        <v>529</v>
      </c>
      <c r="D5" s="2028"/>
      <c r="E5" s="2027" t="s">
        <v>576</v>
      </c>
      <c r="F5" s="2037"/>
      <c r="G5" s="2037"/>
      <c r="H5" s="2037"/>
      <c r="I5" s="2037"/>
      <c r="J5" s="2028"/>
      <c r="K5" s="2027" t="s">
        <v>577</v>
      </c>
      <c r="L5" s="2028"/>
    </row>
    <row r="6" spans="1:13" x14ac:dyDescent="0.2">
      <c r="A6" s="2025"/>
      <c r="B6" s="2009"/>
      <c r="C6" s="2029" t="s">
        <v>121</v>
      </c>
      <c r="D6" s="2029" t="s">
        <v>122</v>
      </c>
      <c r="E6" s="2038" t="s">
        <v>123</v>
      </c>
      <c r="F6" s="2039"/>
      <c r="G6" s="2027" t="s">
        <v>124</v>
      </c>
      <c r="H6" s="2028"/>
      <c r="I6" s="2027" t="s">
        <v>189</v>
      </c>
      <c r="J6" s="2028"/>
      <c r="K6" s="2029" t="s">
        <v>121</v>
      </c>
      <c r="L6" s="2029" t="s">
        <v>122</v>
      </c>
    </row>
    <row r="7" spans="1:13" x14ac:dyDescent="0.2">
      <c r="A7" s="2026"/>
      <c r="B7" s="2023"/>
      <c r="C7" s="2030"/>
      <c r="D7" s="2030"/>
      <c r="E7" s="44" t="s">
        <v>121</v>
      </c>
      <c r="F7" s="44" t="s">
        <v>122</v>
      </c>
      <c r="G7" s="44" t="s">
        <v>121</v>
      </c>
      <c r="H7" s="44" t="s">
        <v>122</v>
      </c>
      <c r="I7" s="44" t="s">
        <v>121</v>
      </c>
      <c r="J7" s="44" t="s">
        <v>122</v>
      </c>
      <c r="K7" s="2030"/>
      <c r="L7" s="2030"/>
    </row>
    <row r="8" spans="1:13" x14ac:dyDescent="0.2">
      <c r="A8" s="174" t="s">
        <v>221</v>
      </c>
      <c r="B8" s="44" t="s">
        <v>190</v>
      </c>
      <c r="C8" s="44"/>
      <c r="D8" s="44"/>
      <c r="E8" s="44"/>
      <c r="F8" s="44"/>
      <c r="G8" s="44"/>
      <c r="H8" s="44"/>
      <c r="I8" s="44"/>
      <c r="J8" s="44"/>
      <c r="K8" s="44"/>
      <c r="L8" s="44"/>
    </row>
    <row r="9" spans="1:13" x14ac:dyDescent="0.2">
      <c r="A9" s="174" t="s">
        <v>191</v>
      </c>
      <c r="B9" s="44" t="s">
        <v>192</v>
      </c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3" x14ac:dyDescent="0.2">
      <c r="A10" s="174">
        <v>1</v>
      </c>
      <c r="B10" s="44" t="s">
        <v>193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</row>
    <row r="11" spans="1:13" x14ac:dyDescent="0.2">
      <c r="A11" s="174">
        <v>2</v>
      </c>
      <c r="B11" s="44" t="s">
        <v>194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3" x14ac:dyDescent="0.2">
      <c r="A12" s="174">
        <v>3</v>
      </c>
      <c r="B12" s="44" t="s">
        <v>195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3" x14ac:dyDescent="0.2">
      <c r="A13" s="174"/>
      <c r="B13" s="44" t="s">
        <v>297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3" x14ac:dyDescent="0.2">
      <c r="A14" s="174" t="s">
        <v>196</v>
      </c>
      <c r="B14" s="44" t="s">
        <v>197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3" x14ac:dyDescent="0.2">
      <c r="A15" s="174">
        <v>4</v>
      </c>
      <c r="B15" s="44" t="s">
        <v>198</v>
      </c>
      <c r="C15" s="2031" t="s">
        <v>758</v>
      </c>
      <c r="D15" s="2032"/>
      <c r="E15" s="2032"/>
      <c r="F15" s="2032"/>
      <c r="G15" s="2032"/>
      <c r="H15" s="2032"/>
      <c r="I15" s="2032"/>
      <c r="J15" s="2032"/>
      <c r="K15" s="2032"/>
      <c r="L15" s="2033"/>
    </row>
    <row r="16" spans="1:13" x14ac:dyDescent="0.2">
      <c r="A16" s="174">
        <v>5</v>
      </c>
      <c r="B16" s="44"/>
      <c r="C16" s="2034"/>
      <c r="D16" s="2035"/>
      <c r="E16" s="2035"/>
      <c r="F16" s="2035"/>
      <c r="G16" s="2035"/>
      <c r="H16" s="2035"/>
      <c r="I16" s="2035"/>
      <c r="J16" s="2035"/>
      <c r="K16" s="2035"/>
      <c r="L16" s="2036"/>
    </row>
    <row r="17" spans="1:12" x14ac:dyDescent="0.2">
      <c r="A17" s="174">
        <v>6</v>
      </c>
      <c r="B17" s="44" t="s">
        <v>195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x14ac:dyDescent="0.2">
      <c r="A18" s="174"/>
      <c r="B18" s="44" t="s">
        <v>217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x14ac:dyDescent="0.2">
      <c r="A19" s="174"/>
      <c r="B19" s="44" t="s">
        <v>101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x14ac:dyDescent="0.2">
      <c r="A20" s="174" t="s">
        <v>532</v>
      </c>
      <c r="B20" s="44" t="s">
        <v>102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x14ac:dyDescent="0.2">
      <c r="A21" s="174" t="s">
        <v>103</v>
      </c>
      <c r="B21" s="44" t="s">
        <v>104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x14ac:dyDescent="0.2">
      <c r="A22" s="174"/>
      <c r="B22" s="44" t="s">
        <v>105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x14ac:dyDescent="0.2">
      <c r="A23" s="174" t="s">
        <v>517</v>
      </c>
      <c r="B23" s="44" t="s">
        <v>106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x14ac:dyDescent="0.2">
      <c r="A24" s="174"/>
      <c r="B24" s="44" t="s">
        <v>104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x14ac:dyDescent="0.2">
      <c r="A25" s="174"/>
      <c r="B25" s="44" t="s">
        <v>105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spans="1:12" x14ac:dyDescent="0.2">
      <c r="A26" s="174" t="s">
        <v>519</v>
      </c>
      <c r="B26" s="44" t="s">
        <v>549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x14ac:dyDescent="0.2">
      <c r="A27" s="174"/>
      <c r="B27" s="44" t="s">
        <v>104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x14ac:dyDescent="0.2">
      <c r="A28" s="174"/>
      <c r="B28" s="44" t="s">
        <v>105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</row>
    <row r="29" spans="1:12" x14ac:dyDescent="0.2">
      <c r="A29" s="174" t="s">
        <v>151</v>
      </c>
      <c r="B29" s="44" t="s">
        <v>497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x14ac:dyDescent="0.2">
      <c r="A30" s="174"/>
      <c r="B30" s="44" t="s">
        <v>104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x14ac:dyDescent="0.2">
      <c r="A31" s="44"/>
      <c r="B31" s="44" t="s">
        <v>105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x14ac:dyDescent="0.2">
      <c r="A32" s="44"/>
      <c r="B32" s="44" t="s">
        <v>498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x14ac:dyDescent="0.2">
      <c r="B34" s="16" t="s">
        <v>282</v>
      </c>
    </row>
    <row r="35" spans="1:12" x14ac:dyDescent="0.2">
      <c r="B35" s="16" t="s">
        <v>283</v>
      </c>
    </row>
    <row r="36" spans="1:12" x14ac:dyDescent="0.2">
      <c r="B36" s="16" t="s">
        <v>284</v>
      </c>
    </row>
  </sheetData>
  <customSheetViews>
    <customSheetView guid="{80837D84-6D11-4A5F-87D7-272A542EF21A}" showGridLines="0" showRuler="0">
      <selection activeCell="N27" sqref="N27"/>
      <pageMargins left="0.75" right="0.75" top="1" bottom="1" header="0.5" footer="0.5"/>
      <printOptions horizontalCentered="1" gridLines="1"/>
      <pageSetup paperSize="9" scale="110" orientation="landscape" horizontalDpi="180" verticalDpi="180" r:id="rId1"/>
      <headerFooter alignWithMargins="0"/>
    </customSheetView>
    <customSheetView guid="{5FF41722-DC20-49D9-9ED5-FEC8C9404ECB}" showPageBreaks="1" showGridLines="0" printArea="1" showRuler="0">
      <selection activeCell="N27" sqref="N27"/>
      <pageMargins left="0.75" right="0.75" top="1" bottom="1" header="0.5" footer="0.5"/>
      <printOptions horizontalCentered="1" gridLines="1"/>
      <pageSetup paperSize="9" scale="110" orientation="landscape" horizontalDpi="180" verticalDpi="180" r:id="rId2"/>
      <headerFooter alignWithMargins="0"/>
    </customSheetView>
    <customSheetView guid="{23A957A0-E704-4A72-A26E-A4FA7FC4849F}" showPageBreaks="1" showGridLines="0" printArea="1" showRuler="0">
      <selection activeCell="N27" sqref="N27"/>
      <pageMargins left="0.75" right="0.75" top="1" bottom="1" header="0.5" footer="0.5"/>
      <printOptions horizontalCentered="1" gridLines="1"/>
      <pageSetup paperSize="9" scale="110" orientation="landscape" horizontalDpi="180" verticalDpi="180" r:id="rId3"/>
      <headerFooter alignWithMargins="0"/>
    </customSheetView>
  </customSheetViews>
  <mergeCells count="16">
    <mergeCell ref="C15:L16"/>
    <mergeCell ref="A2:L2"/>
    <mergeCell ref="E5:J5"/>
    <mergeCell ref="E6:F6"/>
    <mergeCell ref="G6:H6"/>
    <mergeCell ref="I6:J6"/>
    <mergeCell ref="K1:L1"/>
    <mergeCell ref="A3:L3"/>
    <mergeCell ref="B5:B7"/>
    <mergeCell ref="A5:A7"/>
    <mergeCell ref="K5:L5"/>
    <mergeCell ref="K6:K7"/>
    <mergeCell ref="L6:L7"/>
    <mergeCell ref="C5:D5"/>
    <mergeCell ref="C6:C7"/>
    <mergeCell ref="D6:D7"/>
  </mergeCells>
  <phoneticPr fontId="0" type="noConversion"/>
  <printOptions horizontalCentered="1" gridLines="1"/>
  <pageMargins left="0.75" right="0.75" top="1" bottom="1" header="0.5" footer="0.5"/>
  <pageSetup paperSize="9" orientation="landscape" r:id="rId4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N37"/>
  <sheetViews>
    <sheetView showGridLines="0" topLeftCell="A4" zoomScaleNormal="75" workbookViewId="0">
      <selection sqref="A1:N37"/>
    </sheetView>
  </sheetViews>
  <sheetFormatPr defaultRowHeight="12.75" x14ac:dyDescent="0.2"/>
  <cols>
    <col min="1" max="1" width="7.42578125" style="16" customWidth="1"/>
    <col min="2" max="2" width="14.7109375" style="16" customWidth="1"/>
    <col min="3" max="3" width="15.42578125" style="16" customWidth="1"/>
    <col min="4" max="5" width="8.42578125" style="16" customWidth="1"/>
    <col min="6" max="6" width="8.140625" style="16" customWidth="1"/>
    <col min="7" max="7" width="8" style="16" customWidth="1"/>
    <col min="8" max="8" width="8.140625" style="16" customWidth="1"/>
    <col min="9" max="10" width="7.28515625" style="16" customWidth="1"/>
    <col min="11" max="11" width="6.42578125" style="16" customWidth="1"/>
    <col min="12" max="12" width="7.28515625" style="16" customWidth="1"/>
    <col min="13" max="13" width="6.85546875" style="16" customWidth="1"/>
    <col min="14" max="14" width="18.140625" style="16" customWidth="1"/>
    <col min="15" max="16384" width="9.140625" style="16"/>
  </cols>
  <sheetData>
    <row r="1" spans="1:14" x14ac:dyDescent="0.2">
      <c r="A1" s="5" t="s">
        <v>499</v>
      </c>
      <c r="N1" s="360" t="s">
        <v>285</v>
      </c>
    </row>
    <row r="2" spans="1:14" x14ac:dyDescent="0.2">
      <c r="A2" s="1781" t="s">
        <v>1341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</row>
    <row r="4" spans="1:14" x14ac:dyDescent="0.2">
      <c r="A4" s="2047" t="s">
        <v>220</v>
      </c>
      <c r="B4" s="2042" t="s">
        <v>287</v>
      </c>
      <c r="C4" s="2053" t="s">
        <v>118</v>
      </c>
      <c r="D4" s="2050" t="s">
        <v>288</v>
      </c>
      <c r="E4" s="2050"/>
      <c r="F4" s="2050"/>
      <c r="G4" s="2050"/>
      <c r="H4" s="2050"/>
      <c r="I4" s="2050"/>
      <c r="J4" s="2050"/>
      <c r="K4" s="2051"/>
      <c r="L4" s="2051"/>
      <c r="M4" s="2051"/>
      <c r="N4" s="2052"/>
    </row>
    <row r="5" spans="1:14" x14ac:dyDescent="0.2">
      <c r="A5" s="2048"/>
      <c r="B5" s="2043"/>
      <c r="C5" s="2054"/>
      <c r="D5" s="2056" t="s">
        <v>289</v>
      </c>
      <c r="E5" s="2045" t="s">
        <v>290</v>
      </c>
      <c r="F5" s="2045" t="s">
        <v>291</v>
      </c>
      <c r="G5" s="2045" t="s">
        <v>364</v>
      </c>
      <c r="H5" s="2045" t="s">
        <v>292</v>
      </c>
      <c r="I5" s="2045" t="s">
        <v>195</v>
      </c>
      <c r="J5" s="2045"/>
      <c r="K5" s="2045" t="s">
        <v>293</v>
      </c>
      <c r="L5" s="2045" t="s">
        <v>294</v>
      </c>
      <c r="M5" s="2045" t="s">
        <v>195</v>
      </c>
      <c r="N5" s="2040" t="s">
        <v>43</v>
      </c>
    </row>
    <row r="6" spans="1:14" x14ac:dyDescent="0.2">
      <c r="A6" s="2049"/>
      <c r="B6" s="2044"/>
      <c r="C6" s="2055"/>
      <c r="D6" s="2057"/>
      <c r="E6" s="2046"/>
      <c r="F6" s="2046"/>
      <c r="G6" s="2046"/>
      <c r="H6" s="2046"/>
      <c r="I6" s="2046"/>
      <c r="J6" s="2046"/>
      <c r="K6" s="2046"/>
      <c r="L6" s="2046"/>
      <c r="M6" s="2046"/>
      <c r="N6" s="2041"/>
    </row>
    <row r="7" spans="1:14" ht="25.5" x14ac:dyDescent="0.2">
      <c r="A7" s="175">
        <v>1</v>
      </c>
      <c r="B7" s="176" t="s">
        <v>554</v>
      </c>
      <c r="C7" s="77" t="s">
        <v>555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x14ac:dyDescent="0.2">
      <c r="A8" s="109"/>
      <c r="B8" s="19"/>
      <c r="C8" s="44" t="s">
        <v>556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25.5" x14ac:dyDescent="0.2">
      <c r="A9" s="109"/>
      <c r="B9" s="19"/>
      <c r="C9" s="77" t="s">
        <v>557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x14ac:dyDescent="0.2">
      <c r="A10" s="109"/>
      <c r="B10" s="19"/>
      <c r="C10" s="44" t="s">
        <v>558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4" x14ac:dyDescent="0.2">
      <c r="A11" s="109"/>
      <c r="B11" s="19"/>
      <c r="C11" s="44" t="s">
        <v>559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x14ac:dyDescent="0.2">
      <c r="A12" s="109"/>
      <c r="B12" s="19"/>
      <c r="C12" s="177" t="s">
        <v>560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x14ac:dyDescent="0.2">
      <c r="A13" s="109"/>
      <c r="B13" s="19"/>
      <c r="C13" s="44" t="s">
        <v>561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x14ac:dyDescent="0.2">
      <c r="A14" s="53"/>
      <c r="B14" s="178"/>
      <c r="C14" s="44" t="s">
        <v>562</v>
      </c>
      <c r="D14" s="44" t="s">
        <v>758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4" ht="25.5" x14ac:dyDescent="0.2">
      <c r="A15" s="175">
        <v>2</v>
      </c>
      <c r="B15" s="176" t="s">
        <v>193</v>
      </c>
      <c r="C15" s="77" t="s">
        <v>555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x14ac:dyDescent="0.2">
      <c r="A16" s="109"/>
      <c r="B16" s="19"/>
      <c r="C16" s="44" t="s">
        <v>556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25.5" x14ac:dyDescent="0.2">
      <c r="A17" s="109"/>
      <c r="B17" s="19"/>
      <c r="C17" s="77" t="s">
        <v>557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</row>
    <row r="18" spans="1:14" x14ac:dyDescent="0.2">
      <c r="A18" s="109"/>
      <c r="B18" s="19"/>
      <c r="C18" s="44" t="s">
        <v>558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x14ac:dyDescent="0.2">
      <c r="A19" s="109"/>
      <c r="B19" s="19"/>
      <c r="C19" s="44" t="s">
        <v>559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4" x14ac:dyDescent="0.2">
      <c r="A20" s="109"/>
      <c r="B20" s="19"/>
      <c r="C20" s="177" t="s">
        <v>560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spans="1:14" x14ac:dyDescent="0.2">
      <c r="A21" s="109"/>
      <c r="B21" s="19"/>
      <c r="C21" s="44" t="s">
        <v>561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4" x14ac:dyDescent="0.2">
      <c r="A22" s="53"/>
      <c r="B22" s="178"/>
      <c r="C22" s="44" t="s">
        <v>562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4" x14ac:dyDescent="0.2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24"/>
    </row>
    <row r="24" spans="1:14" x14ac:dyDescent="0.2">
      <c r="A24" s="10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81"/>
    </row>
    <row r="25" spans="1:14" x14ac:dyDescent="0.2">
      <c r="A25" s="110" t="s">
        <v>195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81"/>
    </row>
    <row r="26" spans="1:14" x14ac:dyDescent="0.2">
      <c r="A26" s="53"/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54"/>
    </row>
    <row r="27" spans="1:14" ht="38.25" x14ac:dyDescent="0.2">
      <c r="A27" s="179"/>
      <c r="B27" s="182" t="s">
        <v>563</v>
      </c>
      <c r="C27" s="77" t="s">
        <v>555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</row>
    <row r="28" spans="1:14" x14ac:dyDescent="0.2">
      <c r="A28" s="109"/>
      <c r="B28" s="19"/>
      <c r="C28" s="44" t="s">
        <v>556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 ht="25.5" x14ac:dyDescent="0.2">
      <c r="A29" s="109"/>
      <c r="B29" s="19"/>
      <c r="C29" s="77" t="s">
        <v>557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 x14ac:dyDescent="0.2">
      <c r="A30" s="109"/>
      <c r="B30" s="19"/>
      <c r="C30" s="44" t="s">
        <v>558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 x14ac:dyDescent="0.2">
      <c r="A31" s="109"/>
      <c r="B31" s="19"/>
      <c r="C31" s="44" t="s">
        <v>559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 x14ac:dyDescent="0.2">
      <c r="A32" s="109"/>
      <c r="B32" s="19"/>
      <c r="C32" s="177" t="s">
        <v>560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 x14ac:dyDescent="0.2">
      <c r="A33" s="109"/>
      <c r="B33" s="19"/>
      <c r="C33" s="44" t="s">
        <v>561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 x14ac:dyDescent="0.2">
      <c r="A34" s="53"/>
      <c r="B34" s="178"/>
      <c r="C34" s="44" t="s">
        <v>562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6" spans="1:14" x14ac:dyDescent="0.2">
      <c r="B36" s="16" t="s">
        <v>140</v>
      </c>
    </row>
    <row r="37" spans="1:14" x14ac:dyDescent="0.2">
      <c r="B37" s="16" t="s">
        <v>141</v>
      </c>
    </row>
  </sheetData>
  <customSheetViews>
    <customSheetView guid="{80837D84-6D11-4A5F-87D7-272A542EF21A}" showGridLines="0" showRuler="0" topLeftCell="A6">
      <selection activeCell="A22" sqref="A22"/>
      <pageMargins left="0.75" right="0.75" top="0.75" bottom="0.75" header="0.5" footer="0.5"/>
      <printOptions horizontalCentered="1" gridLines="1"/>
      <pageSetup paperSize="9" orientation="landscape" horizontalDpi="180" verticalDpi="180" r:id="rId1"/>
      <headerFooter alignWithMargins="0"/>
    </customSheetView>
    <customSheetView guid="{5FF41722-DC20-49D9-9ED5-FEC8C9404ECB}" showPageBreaks="1" showGridLines="0" printArea="1" showRuler="0" topLeftCell="A6">
      <selection activeCell="A22" sqref="A22"/>
      <pageMargins left="0.75" right="0.75" top="0.75" bottom="0.75" header="0.5" footer="0.5"/>
      <printOptions horizontalCentered="1" gridLines="1"/>
      <pageSetup paperSize="9" orientation="landscape" horizontalDpi="180" verticalDpi="180" r:id="rId2"/>
      <headerFooter alignWithMargins="0"/>
    </customSheetView>
    <customSheetView guid="{23A957A0-E704-4A72-A26E-A4FA7FC4849F}" showPageBreaks="1" showGridLines="0" printArea="1" showRuler="0" topLeftCell="A6">
      <selection activeCell="A22" sqref="A22"/>
      <pageMargins left="0.75" right="0.75" top="0.75" bottom="0.75" header="0.5" footer="0.5"/>
      <printOptions horizontalCentered="1" gridLines="1"/>
      <pageSetup paperSize="9" orientation="landscape" horizontalDpi="180" verticalDpi="180" r:id="rId3"/>
      <headerFooter alignWithMargins="0"/>
    </customSheetView>
  </customSheetViews>
  <mergeCells count="16">
    <mergeCell ref="H5:H6"/>
    <mergeCell ref="I5:I6"/>
    <mergeCell ref="D5:D6"/>
    <mergeCell ref="E5:E6"/>
    <mergeCell ref="F5:F6"/>
    <mergeCell ref="G5:G6"/>
    <mergeCell ref="N5:N6"/>
    <mergeCell ref="B4:B6"/>
    <mergeCell ref="A2:N2"/>
    <mergeCell ref="J5:J6"/>
    <mergeCell ref="K5:K6"/>
    <mergeCell ref="L5:L6"/>
    <mergeCell ref="M5:M6"/>
    <mergeCell ref="A4:A6"/>
    <mergeCell ref="D4:N4"/>
    <mergeCell ref="C4:C6"/>
  </mergeCells>
  <phoneticPr fontId="0" type="noConversion"/>
  <printOptions horizontalCentered="1" gridLines="1"/>
  <pageMargins left="0.75" right="0.75" top="0.75" bottom="0.75" header="0.5" footer="0.5"/>
  <pageSetup paperSize="9" scale="95" orientation="landscape" r:id="rId4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71"/>
  <sheetViews>
    <sheetView zoomScale="60" zoomScaleNormal="75" workbookViewId="0">
      <selection activeCell="U24" sqref="U24"/>
    </sheetView>
  </sheetViews>
  <sheetFormatPr defaultRowHeight="15" x14ac:dyDescent="0.3"/>
  <cols>
    <col min="1" max="1" width="3.42578125" style="278" customWidth="1"/>
    <col min="2" max="2" width="15.7109375" style="278" customWidth="1"/>
    <col min="3" max="3" width="16" style="278" customWidth="1"/>
    <col min="4" max="4" width="12" style="278" customWidth="1"/>
    <col min="5" max="5" width="17" style="278" customWidth="1"/>
    <col min="6" max="6" width="13.85546875" style="278" customWidth="1"/>
    <col min="7" max="7" width="12.42578125" style="278" customWidth="1"/>
    <col min="8" max="8" width="16.7109375" style="278" customWidth="1"/>
    <col min="9" max="9" width="15" style="278" customWidth="1"/>
    <col min="10" max="15" width="9.140625" style="278"/>
    <col min="16" max="16" width="10.85546875" style="278" customWidth="1"/>
    <col min="17" max="17" width="9.140625" style="278" customWidth="1"/>
    <col min="18" max="19" width="9.140625" style="278"/>
    <col min="20" max="20" width="9.85546875" style="278" customWidth="1"/>
    <col min="21" max="21" width="9.140625" style="278"/>
    <col min="22" max="22" width="11.140625" style="278" bestFit="1" customWidth="1"/>
    <col min="23" max="23" width="9.140625" style="278"/>
    <col min="24" max="24" width="12.140625" style="278" customWidth="1"/>
    <col min="25" max="34" width="9.140625" style="278"/>
    <col min="35" max="35" width="14.28515625" style="278" bestFit="1" customWidth="1"/>
    <col min="36" max="36" width="9.140625" style="278"/>
    <col min="37" max="37" width="11.42578125" style="278" customWidth="1"/>
    <col min="38" max="16384" width="9.140625" style="278"/>
  </cols>
  <sheetData>
    <row r="1" spans="5:13" x14ac:dyDescent="0.3">
      <c r="I1" s="2061"/>
      <c r="J1" s="2061"/>
    </row>
    <row r="6" spans="5:13" ht="15.75" customHeight="1" x14ac:dyDescent="0.3"/>
    <row r="7" spans="5:13" ht="15.75" customHeight="1" x14ac:dyDescent="0.3"/>
    <row r="8" spans="5:13" ht="16.5" customHeight="1" x14ac:dyDescent="0.3"/>
    <row r="9" spans="5:13" ht="24.95" customHeight="1" x14ac:dyDescent="0.3"/>
    <row r="10" spans="5:13" ht="24.95" customHeight="1" x14ac:dyDescent="0.3"/>
    <row r="11" spans="5:13" ht="24.95" customHeight="1" x14ac:dyDescent="0.3"/>
    <row r="12" spans="5:13" ht="24.95" customHeight="1" x14ac:dyDescent="0.3"/>
    <row r="13" spans="5:13" ht="24.95" customHeight="1" x14ac:dyDescent="0.3">
      <c r="E13" s="2062" t="s">
        <v>635</v>
      </c>
      <c r="F13" s="2062"/>
      <c r="G13" s="2062"/>
      <c r="H13" s="2062"/>
      <c r="I13" s="2062"/>
      <c r="J13" s="2062"/>
      <c r="K13" s="2062"/>
      <c r="L13" s="2062"/>
      <c r="M13" s="2062"/>
    </row>
    <row r="14" spans="5:13" ht="24.95" customHeight="1" x14ac:dyDescent="0.3"/>
    <row r="15" spans="5:13" ht="24.95" customHeight="1" x14ac:dyDescent="0.3"/>
    <row r="16" spans="5:13" ht="24.95" customHeight="1" x14ac:dyDescent="0.3"/>
    <row r="17" ht="24.95" customHeight="1" x14ac:dyDescent="0.3"/>
    <row r="18" ht="24.95" customHeight="1" x14ac:dyDescent="0.3"/>
    <row r="19" ht="24.95" customHeight="1" x14ac:dyDescent="0.3"/>
    <row r="20" ht="24.95" customHeight="1" x14ac:dyDescent="0.3"/>
    <row r="21" ht="24.95" customHeight="1" x14ac:dyDescent="0.3"/>
    <row r="22" ht="24.95" customHeight="1" x14ac:dyDescent="0.3"/>
    <row r="23" ht="24.95" customHeight="1" x14ac:dyDescent="0.3"/>
    <row r="24" ht="24.95" customHeight="1" x14ac:dyDescent="0.3"/>
    <row r="25" ht="33.75" customHeight="1" x14ac:dyDescent="0.3"/>
    <row r="32" ht="39.950000000000003" customHeight="1" x14ac:dyDescent="0.3"/>
    <row r="33" spans="2:38" ht="39.950000000000003" customHeight="1" x14ac:dyDescent="0.3"/>
    <row r="34" spans="2:38" ht="39.950000000000003" customHeight="1" x14ac:dyDescent="0.3"/>
    <row r="35" spans="2:38" ht="39.950000000000003" customHeight="1" x14ac:dyDescent="0.3"/>
    <row r="36" spans="2:38" ht="39.950000000000003" customHeight="1" x14ac:dyDescent="0.3"/>
    <row r="37" spans="2:38" ht="39.950000000000003" customHeight="1" x14ac:dyDescent="0.3"/>
    <row r="38" spans="2:38" x14ac:dyDescent="0.3">
      <c r="K38" s="280"/>
      <c r="L38" s="280"/>
    </row>
    <row r="39" spans="2:38" x14ac:dyDescent="0.3">
      <c r="B39" s="2059"/>
      <c r="C39" s="2060"/>
      <c r="D39" s="2060"/>
      <c r="E39" s="2060"/>
      <c r="F39" s="2060"/>
      <c r="G39" s="2060"/>
      <c r="H39" s="2060"/>
      <c r="I39" s="2060"/>
      <c r="J39" s="2060"/>
    </row>
    <row r="40" spans="2:38" x14ac:dyDescent="0.3">
      <c r="B40" s="2060"/>
      <c r="C40" s="2060"/>
      <c r="D40" s="2060"/>
      <c r="E40" s="2060"/>
      <c r="F40" s="2060"/>
      <c r="G40" s="2060"/>
      <c r="H40" s="2060"/>
      <c r="I40" s="2060"/>
      <c r="J40" s="2060"/>
    </row>
    <row r="41" spans="2:38" ht="39" customHeight="1" x14ac:dyDescent="0.35">
      <c r="K41" s="281"/>
    </row>
    <row r="42" spans="2:38" s="279" customFormat="1" ht="41.25" customHeight="1" x14ac:dyDescent="0.3"/>
    <row r="43" spans="2:38" s="279" customFormat="1" ht="50.25" customHeight="1" x14ac:dyDescent="0.3">
      <c r="K43" s="2063"/>
      <c r="L43" s="2063"/>
      <c r="M43" s="2063"/>
      <c r="N43" s="2063"/>
      <c r="O43" s="2063"/>
      <c r="P43" s="2063"/>
      <c r="Q43" s="2063"/>
      <c r="R43" s="2063"/>
      <c r="S43" s="2063"/>
      <c r="T43" s="2063"/>
      <c r="U43" s="2063"/>
      <c r="V43" s="2063"/>
      <c r="W43" s="2063"/>
      <c r="X43" s="2063"/>
      <c r="Y43" s="2063"/>
      <c r="Z43" s="2063"/>
      <c r="AA43" s="2063"/>
      <c r="AB43" s="2063"/>
      <c r="AC43" s="2063"/>
      <c r="AD43" s="2063"/>
      <c r="AE43" s="2063"/>
      <c r="AF43" s="2063"/>
      <c r="AG43" s="2063"/>
      <c r="AH43" s="2063"/>
      <c r="AI43" s="2063"/>
      <c r="AJ43" s="2063"/>
      <c r="AK43" s="2063"/>
      <c r="AL43" s="2063"/>
    </row>
    <row r="44" spans="2:38" s="279" customFormat="1" ht="20.25" x14ac:dyDescent="0.3"/>
    <row r="45" spans="2:38" s="279" customFormat="1" ht="20.25" x14ac:dyDescent="0.3">
      <c r="B45" s="2058"/>
      <c r="C45" s="2058"/>
      <c r="D45" s="284"/>
      <c r="E45" s="285"/>
    </row>
    <row r="46" spans="2:38" s="279" customFormat="1" ht="20.25" x14ac:dyDescent="0.3">
      <c r="B46" s="2058"/>
      <c r="C46" s="2058"/>
      <c r="D46" s="284"/>
      <c r="E46" s="285"/>
    </row>
    <row r="47" spans="2:38" s="279" customFormat="1" ht="20.25" x14ac:dyDescent="0.3">
      <c r="B47" s="2058"/>
      <c r="C47" s="2058"/>
      <c r="D47" s="284"/>
      <c r="E47" s="285"/>
    </row>
    <row r="48" spans="2:38" s="282" customFormat="1" ht="20.25" x14ac:dyDescent="0.3">
      <c r="B48" s="2058"/>
      <c r="C48" s="2058"/>
      <c r="D48" s="284"/>
      <c r="E48" s="286"/>
    </row>
    <row r="49" spans="2:5" s="279" customFormat="1" ht="20.25" x14ac:dyDescent="0.3">
      <c r="B49" s="287"/>
      <c r="C49" s="287"/>
      <c r="D49" s="284"/>
      <c r="E49" s="285"/>
    </row>
    <row r="50" spans="2:5" s="279" customFormat="1" ht="20.25" x14ac:dyDescent="0.3"/>
    <row r="51" spans="2:5" s="279" customFormat="1" ht="20.25" x14ac:dyDescent="0.3"/>
    <row r="52" spans="2:5" s="279" customFormat="1" ht="20.25" x14ac:dyDescent="0.3"/>
    <row r="53" spans="2:5" s="279" customFormat="1" ht="20.25" x14ac:dyDescent="0.3"/>
    <row r="54" spans="2:5" s="279" customFormat="1" ht="20.25" x14ac:dyDescent="0.3"/>
    <row r="55" spans="2:5" s="283" customFormat="1" ht="18" x14ac:dyDescent="0.25"/>
    <row r="56" spans="2:5" s="283" customFormat="1" ht="18" x14ac:dyDescent="0.25"/>
    <row r="57" spans="2:5" s="283" customFormat="1" ht="18" x14ac:dyDescent="0.25"/>
    <row r="58" spans="2:5" s="283" customFormat="1" ht="18" x14ac:dyDescent="0.25"/>
    <row r="59" spans="2:5" s="283" customFormat="1" ht="18" x14ac:dyDescent="0.25"/>
    <row r="60" spans="2:5" s="283" customFormat="1" ht="18" x14ac:dyDescent="0.25"/>
    <row r="61" spans="2:5" s="283" customFormat="1" ht="18" x14ac:dyDescent="0.25"/>
    <row r="62" spans="2:5" s="283" customFormat="1" ht="18" x14ac:dyDescent="0.25"/>
    <row r="63" spans="2:5" s="283" customFormat="1" ht="18" x14ac:dyDescent="0.25"/>
    <row r="64" spans="2:5" s="283" customFormat="1" ht="18" x14ac:dyDescent="0.25"/>
    <row r="65" s="283" customFormat="1" ht="18" x14ac:dyDescent="0.25"/>
    <row r="66" s="283" customFormat="1" ht="18" x14ac:dyDescent="0.25"/>
    <row r="67" s="283" customFormat="1" ht="18" x14ac:dyDescent="0.25"/>
    <row r="68" s="283" customFormat="1" ht="18" x14ac:dyDescent="0.25"/>
    <row r="69" s="283" customFormat="1" ht="18" x14ac:dyDescent="0.25"/>
    <row r="70" s="283" customFormat="1" ht="18" x14ac:dyDescent="0.25"/>
    <row r="71" s="283" customFormat="1" ht="18" x14ac:dyDescent="0.25"/>
  </sheetData>
  <mergeCells count="9">
    <mergeCell ref="B48:C48"/>
    <mergeCell ref="B39:J39"/>
    <mergeCell ref="B40:J40"/>
    <mergeCell ref="I1:J1"/>
    <mergeCell ref="E13:M13"/>
    <mergeCell ref="K43:AL43"/>
    <mergeCell ref="B45:C45"/>
    <mergeCell ref="B46:C46"/>
    <mergeCell ref="B47:C47"/>
  </mergeCells>
  <printOptions horizontalCentered="1"/>
  <pageMargins left="0.75" right="0.75" top="1" bottom="1" header="0.5" footer="0.5"/>
  <pageSetup paperSize="9" scale="32" orientation="landscape" horizontalDpi="300" verticalDpi="300" r:id="rId1"/>
  <headerFooter alignWithMargins="0">
    <oddFooter>&amp;R142
Energy Flow Dig -D:Suresh:Flow Chart</oddFooter>
  </headerFooter>
  <rowBreaks count="1" manualBreakCount="1">
    <brk id="32" max="16383" man="1"/>
  </rowBreaks>
  <colBreaks count="1" manualBreakCount="1">
    <brk id="10" max="40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topLeftCell="A28" zoomScaleNormal="100" workbookViewId="0">
      <selection activeCell="N36" sqref="N36"/>
    </sheetView>
  </sheetViews>
  <sheetFormatPr defaultRowHeight="15" x14ac:dyDescent="0.25"/>
  <cols>
    <col min="1" max="1" width="0.5703125" style="1331" customWidth="1"/>
    <col min="2" max="2" width="9.42578125" style="1331" bestFit="1" customWidth="1"/>
    <col min="3" max="3" width="36.7109375" style="1331" customWidth="1"/>
    <col min="4" max="4" width="6.85546875" style="1331" customWidth="1"/>
    <col min="5" max="5" width="10.85546875" style="1331" bestFit="1" customWidth="1"/>
    <col min="6" max="6" width="10.5703125" style="1331" bestFit="1" customWidth="1"/>
    <col min="7" max="7" width="12.5703125" style="1331" bestFit="1" customWidth="1"/>
    <col min="8" max="8" width="11" style="1331" bestFit="1" customWidth="1"/>
    <col min="9" max="9" width="12.5703125" style="1331" bestFit="1" customWidth="1"/>
    <col min="10" max="10" width="12.28515625" style="1331" bestFit="1" customWidth="1"/>
    <col min="11" max="11" width="11.42578125" style="1331" bestFit="1" customWidth="1"/>
    <col min="12" max="12" width="14.28515625" style="1331" customWidth="1"/>
    <col min="13" max="16384" width="9.140625" style="1331"/>
  </cols>
  <sheetData>
    <row r="1" spans="2:12" ht="15.75" x14ac:dyDescent="0.25">
      <c r="L1" s="1776" t="s">
        <v>609</v>
      </c>
    </row>
    <row r="2" spans="2:12" ht="48" customHeight="1" x14ac:dyDescent="0.25">
      <c r="B2" s="2064" t="s">
        <v>1330</v>
      </c>
      <c r="C2" s="2064"/>
      <c r="D2" s="2064"/>
      <c r="E2" s="2064"/>
      <c r="F2" s="2064"/>
      <c r="G2" s="2064"/>
      <c r="H2" s="2064"/>
      <c r="I2" s="2064"/>
      <c r="J2" s="2064"/>
      <c r="K2" s="2064"/>
      <c r="L2" s="2064"/>
    </row>
    <row r="3" spans="2:12" x14ac:dyDescent="0.25">
      <c r="B3" s="1711"/>
      <c r="C3" s="1712"/>
      <c r="D3" s="1712"/>
      <c r="E3" s="1712"/>
      <c r="F3" s="1712"/>
      <c r="G3" s="1712"/>
      <c r="H3" s="1712"/>
      <c r="I3" s="1712"/>
      <c r="J3" s="1712"/>
      <c r="K3" s="1712"/>
      <c r="L3" s="1713"/>
    </row>
    <row r="4" spans="2:12" x14ac:dyDescent="0.25">
      <c r="B4" s="1332" t="s">
        <v>166</v>
      </c>
      <c r="C4" s="1332" t="s">
        <v>340</v>
      </c>
      <c r="D4" s="1332" t="s">
        <v>263</v>
      </c>
      <c r="E4" s="1332" t="s">
        <v>264</v>
      </c>
      <c r="F4" s="1332" t="s">
        <v>452</v>
      </c>
      <c r="G4" s="1332" t="s">
        <v>534</v>
      </c>
      <c r="H4" s="1332" t="s">
        <v>149</v>
      </c>
      <c r="I4" s="1332" t="s">
        <v>19</v>
      </c>
      <c r="J4" s="1332" t="s">
        <v>158</v>
      </c>
      <c r="K4" s="1332" t="s">
        <v>472</v>
      </c>
      <c r="L4" s="1332" t="s">
        <v>119</v>
      </c>
    </row>
    <row r="5" spans="2:12" ht="30" x14ac:dyDescent="0.25">
      <c r="B5" s="1714">
        <v>1</v>
      </c>
      <c r="C5" s="1715" t="s">
        <v>667</v>
      </c>
      <c r="D5" s="1716"/>
      <c r="E5" s="1717">
        <v>401</v>
      </c>
      <c r="F5" s="1717">
        <v>287</v>
      </c>
      <c r="G5" s="1717">
        <v>35</v>
      </c>
      <c r="H5" s="1717">
        <v>172</v>
      </c>
      <c r="I5" s="1717">
        <v>1</v>
      </c>
      <c r="J5" s="1717">
        <v>545</v>
      </c>
      <c r="K5" s="1717">
        <v>13</v>
      </c>
      <c r="L5" s="1332">
        <f>SUM(E5:K5)</f>
        <v>1454</v>
      </c>
    </row>
    <row r="6" spans="2:12" ht="45" x14ac:dyDescent="0.25">
      <c r="B6" s="1714">
        <v>2</v>
      </c>
      <c r="C6" s="1718" t="s">
        <v>1331</v>
      </c>
      <c r="D6" s="1714"/>
      <c r="E6" s="1333">
        <v>5480</v>
      </c>
      <c r="F6" s="1333">
        <v>3886</v>
      </c>
      <c r="G6" s="1333">
        <v>313</v>
      </c>
      <c r="H6" s="1333">
        <v>2070</v>
      </c>
      <c r="I6" s="1333">
        <v>18</v>
      </c>
      <c r="J6" s="1333">
        <v>3683</v>
      </c>
      <c r="K6" s="1333">
        <v>282</v>
      </c>
      <c r="L6" s="1332">
        <f>SUM(E6:K6)</f>
        <v>15732</v>
      </c>
    </row>
    <row r="7" spans="2:12" ht="45" x14ac:dyDescent="0.25">
      <c r="B7" s="1714">
        <v>3</v>
      </c>
      <c r="C7" s="1715" t="s">
        <v>601</v>
      </c>
      <c r="D7" s="1714"/>
      <c r="E7" s="1333">
        <v>1532</v>
      </c>
      <c r="F7" s="1333">
        <v>366</v>
      </c>
      <c r="G7" s="1333">
        <v>46</v>
      </c>
      <c r="H7" s="1333">
        <v>161</v>
      </c>
      <c r="I7" s="1333">
        <v>3</v>
      </c>
      <c r="J7" s="1333">
        <v>802</v>
      </c>
      <c r="K7" s="1333">
        <v>13</v>
      </c>
      <c r="L7" s="1332">
        <f t="shared" ref="L7:L15" si="0">SUM(E7:K7)</f>
        <v>2923</v>
      </c>
    </row>
    <row r="8" spans="2:12" ht="45" x14ac:dyDescent="0.25">
      <c r="B8" s="1714">
        <v>4</v>
      </c>
      <c r="C8" s="1715" t="s">
        <v>1332</v>
      </c>
      <c r="D8" s="1714"/>
      <c r="E8" s="1334">
        <v>26.01</v>
      </c>
      <c r="F8" s="1333">
        <v>17.54</v>
      </c>
      <c r="G8" s="1333">
        <v>5.34</v>
      </c>
      <c r="H8" s="1333">
        <v>9.69</v>
      </c>
      <c r="I8" s="1333">
        <v>0.01</v>
      </c>
      <c r="J8" s="1333">
        <v>6.36</v>
      </c>
      <c r="K8" s="1333">
        <v>14.46</v>
      </c>
      <c r="L8" s="1335">
        <f t="shared" si="0"/>
        <v>79.41</v>
      </c>
    </row>
    <row r="9" spans="2:12" ht="30" x14ac:dyDescent="0.25">
      <c r="B9" s="1714">
        <v>5</v>
      </c>
      <c r="C9" s="1715" t="s">
        <v>1333</v>
      </c>
      <c r="D9" s="1714"/>
      <c r="E9" s="1334">
        <f>40146640/100000</f>
        <v>401.46640000000002</v>
      </c>
      <c r="F9" s="1334">
        <f>66425143.33/100000</f>
        <v>664.25143330000003</v>
      </c>
      <c r="G9" s="1334">
        <f>9220465/100000</f>
        <v>92.204650000000001</v>
      </c>
      <c r="H9" s="1334">
        <f>17727411/100000</f>
        <v>177.27411000000001</v>
      </c>
      <c r="I9" s="1334">
        <f>340898/100000</f>
        <v>3.4089800000000001</v>
      </c>
      <c r="J9" s="1334">
        <f>19581265/100000</f>
        <v>195.81264999999999</v>
      </c>
      <c r="K9" s="1334">
        <f>17216162/100000</f>
        <v>172.16162</v>
      </c>
      <c r="L9" s="1335">
        <f t="shared" si="0"/>
        <v>1706.5798433000002</v>
      </c>
    </row>
    <row r="10" spans="2:12" ht="30" x14ac:dyDescent="0.25">
      <c r="B10" s="1714">
        <v>6</v>
      </c>
      <c r="C10" s="1715" t="s">
        <v>1334</v>
      </c>
      <c r="D10" s="1714"/>
      <c r="E10" s="1333">
        <f>7991200/100000</f>
        <v>79.912000000000006</v>
      </c>
      <c r="F10" s="1333">
        <f>10530240/100000</f>
        <v>105.30240000000001</v>
      </c>
      <c r="G10" s="1333">
        <f>1198000/100000</f>
        <v>11.98</v>
      </c>
      <c r="H10" s="1333">
        <f>5016000/100000</f>
        <v>50.16</v>
      </c>
      <c r="I10" s="1333">
        <f>68000/100000</f>
        <v>0.68</v>
      </c>
      <c r="J10" s="1333">
        <f>8207000/100000</f>
        <v>82.07</v>
      </c>
      <c r="K10" s="1339">
        <f>5688207/100000</f>
        <v>56.882069999999999</v>
      </c>
      <c r="L10" s="1335">
        <f t="shared" si="0"/>
        <v>386.98647</v>
      </c>
    </row>
    <row r="11" spans="2:12" ht="75" x14ac:dyDescent="0.25">
      <c r="B11" s="1714">
        <v>7</v>
      </c>
      <c r="C11" s="1715" t="s">
        <v>668</v>
      </c>
      <c r="D11" s="1714"/>
      <c r="E11" s="1334"/>
      <c r="F11" s="1334"/>
      <c r="G11" s="1334"/>
      <c r="H11" s="1334"/>
      <c r="I11" s="1334"/>
      <c r="J11" s="1334"/>
      <c r="K11" s="1334"/>
      <c r="L11" s="1332">
        <f t="shared" si="0"/>
        <v>0</v>
      </c>
    </row>
    <row r="12" spans="2:12" ht="30" x14ac:dyDescent="0.25">
      <c r="B12" s="1714">
        <v>8</v>
      </c>
      <c r="C12" s="1715" t="s">
        <v>1335</v>
      </c>
      <c r="D12" s="1335"/>
      <c r="E12" s="1335">
        <v>481.37840000000006</v>
      </c>
      <c r="F12" s="1335">
        <v>769.55383330000006</v>
      </c>
      <c r="G12" s="1335">
        <v>104.18465</v>
      </c>
      <c r="H12" s="1335">
        <v>227.43411</v>
      </c>
      <c r="I12" s="1335">
        <v>4.0889800000000003</v>
      </c>
      <c r="J12" s="1335">
        <v>277.88265000000001</v>
      </c>
      <c r="K12" s="1335">
        <v>229.04369</v>
      </c>
      <c r="L12" s="1335">
        <f t="shared" si="0"/>
        <v>2093.5663132999998</v>
      </c>
    </row>
    <row r="13" spans="2:12" ht="30" x14ac:dyDescent="0.25">
      <c r="B13" s="1719">
        <v>9</v>
      </c>
      <c r="C13" s="1720" t="s">
        <v>1336</v>
      </c>
      <c r="D13" s="1719"/>
      <c r="E13" s="1336">
        <v>1714.1368200000002</v>
      </c>
      <c r="F13" s="1336">
        <v>112.61379669999997</v>
      </c>
      <c r="G13" s="1336">
        <v>160.21056999999999</v>
      </c>
      <c r="H13" s="1336">
        <v>369.52167999999995</v>
      </c>
      <c r="I13" s="1336">
        <v>485.11995999999999</v>
      </c>
      <c r="J13" s="1336">
        <v>101.94872999999995</v>
      </c>
      <c r="K13" s="1336">
        <v>2868.5916400000001</v>
      </c>
      <c r="L13" s="1335">
        <f t="shared" si="0"/>
        <v>5812.1431967000008</v>
      </c>
    </row>
    <row r="14" spans="2:12" ht="29.25" customHeight="1" x14ac:dyDescent="0.25">
      <c r="B14" s="1714">
        <v>10</v>
      </c>
      <c r="C14" s="1715" t="s">
        <v>1337</v>
      </c>
      <c r="D14" s="1714"/>
      <c r="E14" s="1334">
        <v>391.61522000000002</v>
      </c>
      <c r="F14" s="1334">
        <v>210.79763</v>
      </c>
      <c r="G14" s="1334">
        <v>64.895219999999995</v>
      </c>
      <c r="H14" s="1334">
        <v>182.05579</v>
      </c>
      <c r="I14" s="1334">
        <v>352.76893999999999</v>
      </c>
      <c r="J14" s="1334">
        <v>275.68137999999999</v>
      </c>
      <c r="K14" s="1334">
        <v>191.42533</v>
      </c>
      <c r="L14" s="1335">
        <f t="shared" si="0"/>
        <v>1669.2395100000001</v>
      </c>
    </row>
    <row r="15" spans="2:12" ht="32.25" customHeight="1" x14ac:dyDescent="0.25">
      <c r="B15" s="1714">
        <v>11</v>
      </c>
      <c r="C15" s="1715" t="s">
        <v>669</v>
      </c>
      <c r="D15" s="1714"/>
      <c r="E15" s="1335">
        <v>1803.9</v>
      </c>
      <c r="F15" s="1335">
        <v>671.37</v>
      </c>
      <c r="G15" s="1335">
        <v>199.5</v>
      </c>
      <c r="H15" s="1335">
        <v>414.9</v>
      </c>
      <c r="I15" s="1335">
        <v>136.44</v>
      </c>
      <c r="J15" s="1335">
        <v>104.15</v>
      </c>
      <c r="K15" s="1335">
        <v>2906.21</v>
      </c>
      <c r="L15" s="1335">
        <f t="shared" si="0"/>
        <v>6236.47</v>
      </c>
    </row>
    <row r="17" spans="2:12" x14ac:dyDescent="0.25">
      <c r="L17" s="1337"/>
    </row>
    <row r="18" spans="2:12" x14ac:dyDescent="0.25">
      <c r="E18" s="1338"/>
      <c r="F18" s="1338"/>
      <c r="G18" s="1338"/>
      <c r="H18" s="1338"/>
      <c r="I18" s="1338"/>
      <c r="J18" s="1338"/>
      <c r="K18" s="1338"/>
    </row>
    <row r="19" spans="2:12" x14ac:dyDescent="0.25">
      <c r="E19" s="1338"/>
      <c r="F19" s="1338"/>
      <c r="G19" s="1338"/>
      <c r="H19" s="1338"/>
      <c r="I19" s="1338"/>
      <c r="J19" s="1338"/>
      <c r="K19" s="1338"/>
    </row>
    <row r="20" spans="2:12" x14ac:dyDescent="0.25">
      <c r="E20" s="1338"/>
      <c r="F20" s="1338"/>
      <c r="G20" s="1338"/>
      <c r="H20" s="1338"/>
      <c r="I20" s="1338"/>
      <c r="J20" s="1338"/>
      <c r="K20" s="1338"/>
      <c r="L20" s="1338"/>
    </row>
    <row r="21" spans="2:12" x14ac:dyDescent="0.25">
      <c r="E21" s="1338"/>
      <c r="F21" s="1338"/>
      <c r="G21" s="1338"/>
      <c r="H21" s="1338"/>
      <c r="I21" s="1338"/>
      <c r="J21" s="1338"/>
      <c r="K21" s="1338"/>
      <c r="L21" s="1338"/>
    </row>
    <row r="22" spans="2:12" x14ac:dyDescent="0.25">
      <c r="E22" s="1338"/>
      <c r="F22" s="1338"/>
      <c r="G22" s="1338"/>
      <c r="H22" s="1338"/>
      <c r="I22" s="1338"/>
      <c r="J22" s="1338"/>
      <c r="K22" s="1338"/>
      <c r="L22" s="1338"/>
    </row>
    <row r="23" spans="2:12" x14ac:dyDescent="0.25">
      <c r="E23" s="1338"/>
      <c r="F23" s="1338"/>
      <c r="G23" s="1338"/>
      <c r="H23" s="1338"/>
      <c r="I23" s="1338"/>
      <c r="J23" s="1338"/>
      <c r="K23" s="1338"/>
    </row>
    <row r="26" spans="2:12" ht="15.75" x14ac:dyDescent="0.25">
      <c r="B26" s="1330" t="s">
        <v>609</v>
      </c>
    </row>
    <row r="27" spans="2:12" ht="42" customHeight="1" x14ac:dyDescent="0.25">
      <c r="B27" s="2064" t="s">
        <v>1338</v>
      </c>
      <c r="C27" s="2064"/>
      <c r="D27" s="2064"/>
      <c r="E27" s="2064"/>
      <c r="F27" s="2064"/>
      <c r="G27" s="2064"/>
      <c r="H27" s="2064"/>
      <c r="I27" s="2064"/>
      <c r="J27" s="2064"/>
      <c r="K27" s="2064"/>
      <c r="L27" s="2064"/>
    </row>
    <row r="28" spans="2:12" x14ac:dyDescent="0.25">
      <c r="B28" s="1711"/>
      <c r="C28" s="1712"/>
      <c r="D28" s="1712"/>
      <c r="E28" s="1712"/>
      <c r="F28" s="1712"/>
      <c r="G28" s="1712"/>
      <c r="H28" s="1712"/>
      <c r="I28" s="1712"/>
      <c r="J28" s="1712"/>
      <c r="K28" s="1712"/>
      <c r="L28" s="1713"/>
    </row>
    <row r="29" spans="2:12" x14ac:dyDescent="0.25">
      <c r="B29" s="1332" t="s">
        <v>166</v>
      </c>
      <c r="C29" s="1332" t="s">
        <v>340</v>
      </c>
      <c r="D29" s="1332" t="s">
        <v>263</v>
      </c>
      <c r="E29" s="1332" t="s">
        <v>264</v>
      </c>
      <c r="F29" s="1332" t="s">
        <v>452</v>
      </c>
      <c r="G29" s="1332" t="s">
        <v>534</v>
      </c>
      <c r="H29" s="1332" t="s">
        <v>149</v>
      </c>
      <c r="I29" s="1332" t="s">
        <v>19</v>
      </c>
      <c r="J29" s="1332" t="s">
        <v>158</v>
      </c>
      <c r="K29" s="1332" t="s">
        <v>472</v>
      </c>
      <c r="L29" s="1332" t="s">
        <v>119</v>
      </c>
    </row>
    <row r="30" spans="2:12" ht="30" x14ac:dyDescent="0.25">
      <c r="B30" s="1714">
        <v>1</v>
      </c>
      <c r="C30" s="1715" t="s">
        <v>667</v>
      </c>
      <c r="D30" s="1716"/>
      <c r="E30" s="1717">
        <f>565+7+101</f>
        <v>673</v>
      </c>
      <c r="F30" s="1717">
        <f>130+7</f>
        <v>137</v>
      </c>
      <c r="G30" s="1717">
        <f>49+26</f>
        <v>75</v>
      </c>
      <c r="H30" s="1717">
        <f>86+18</f>
        <v>104</v>
      </c>
      <c r="I30" s="1717">
        <f>72+12</f>
        <v>84</v>
      </c>
      <c r="J30" s="1717">
        <f>160+6</f>
        <v>166</v>
      </c>
      <c r="K30" s="1717">
        <f>6+17</f>
        <v>23</v>
      </c>
      <c r="L30" s="1332">
        <f>SUM(E30:K30)</f>
        <v>1262</v>
      </c>
    </row>
    <row r="31" spans="2:12" ht="45" x14ac:dyDescent="0.25">
      <c r="B31" s="1714">
        <v>2</v>
      </c>
      <c r="C31" s="1718" t="s">
        <v>1339</v>
      </c>
      <c r="D31" s="1714"/>
      <c r="E31" s="1333">
        <v>1403</v>
      </c>
      <c r="F31" s="1333">
        <v>1007</v>
      </c>
      <c r="G31" s="1333">
        <v>123</v>
      </c>
      <c r="H31" s="1333">
        <v>602</v>
      </c>
      <c r="I31" s="1333">
        <v>5</v>
      </c>
      <c r="J31" s="1333">
        <v>1908</v>
      </c>
      <c r="K31" s="1333">
        <v>39</v>
      </c>
      <c r="L31" s="1332">
        <f>SUM(E31:K31)</f>
        <v>5087</v>
      </c>
    </row>
    <row r="32" spans="2:12" ht="45" x14ac:dyDescent="0.25">
      <c r="B32" s="1714">
        <v>3</v>
      </c>
      <c r="C32" s="1715" t="s">
        <v>601</v>
      </c>
      <c r="D32" s="1714"/>
      <c r="E32" s="1333">
        <v>216</v>
      </c>
      <c r="F32" s="1333">
        <v>89</v>
      </c>
      <c r="G32" s="1333">
        <v>10</v>
      </c>
      <c r="H32" s="1333">
        <v>51</v>
      </c>
      <c r="I32" s="1333">
        <v>0</v>
      </c>
      <c r="J32" s="1333">
        <v>339</v>
      </c>
      <c r="K32" s="1333">
        <v>5</v>
      </c>
      <c r="L32" s="1332">
        <f t="shared" ref="L32:L40" si="1">SUM(E32:K32)</f>
        <v>710</v>
      </c>
    </row>
    <row r="33" spans="2:14" ht="45" x14ac:dyDescent="0.25">
      <c r="B33" s="1714">
        <v>4</v>
      </c>
      <c r="C33" s="1715" t="s">
        <v>1332</v>
      </c>
      <c r="D33" s="1714"/>
      <c r="E33" s="1334">
        <f>305693.76/100000</f>
        <v>3.0569375999999999</v>
      </c>
      <c r="F33" s="1334">
        <f>301484.2/100000</f>
        <v>3.0148420000000002</v>
      </c>
      <c r="G33" s="1334">
        <f>124737.86/100000</f>
        <v>1.2473786</v>
      </c>
      <c r="H33" s="1334">
        <f>114265/100000</f>
        <v>1.1426499999999999</v>
      </c>
      <c r="I33" s="1334">
        <v>0</v>
      </c>
      <c r="J33" s="1334">
        <f>448336.7/100000</f>
        <v>4.4833670000000003</v>
      </c>
      <c r="K33" s="1334">
        <f>288341.5/100000</f>
        <v>2.8834149999999998</v>
      </c>
      <c r="L33" s="1335">
        <f t="shared" si="1"/>
        <v>15.828590200000001</v>
      </c>
    </row>
    <row r="34" spans="2:14" ht="30" x14ac:dyDescent="0.25">
      <c r="B34" s="1714">
        <v>5</v>
      </c>
      <c r="C34" s="1715" t="s">
        <v>1333</v>
      </c>
      <c r="D34" s="1714"/>
      <c r="E34" s="1334">
        <f>6173661/100000</f>
        <v>61.736609999999999</v>
      </c>
      <c r="F34" s="1334">
        <f>9244059/100000</f>
        <v>92.44059</v>
      </c>
      <c r="G34" s="1334">
        <f>2523395/100000</f>
        <v>25.23395</v>
      </c>
      <c r="H34" s="1334">
        <f>4014767/100000</f>
        <v>40.147669999999998</v>
      </c>
      <c r="I34" s="1334">
        <v>0</v>
      </c>
      <c r="J34" s="1334">
        <f>13746999/100000</f>
        <v>137.46999</v>
      </c>
      <c r="K34" s="1334">
        <f>9912981/100000</f>
        <v>99.129810000000006</v>
      </c>
      <c r="L34" s="1335">
        <f t="shared" si="1"/>
        <v>456.15862000000004</v>
      </c>
    </row>
    <row r="35" spans="2:14" ht="30" x14ac:dyDescent="0.25">
      <c r="B35" s="1714">
        <v>6</v>
      </c>
      <c r="C35" s="1715" t="s">
        <v>1334</v>
      </c>
      <c r="D35" s="1714"/>
      <c r="E35" s="1333">
        <f>848000/100000</f>
        <v>8.48</v>
      </c>
      <c r="F35" s="1333">
        <f>2566000/100000</f>
        <v>25.66</v>
      </c>
      <c r="G35" s="1333">
        <f>502000/100000</f>
        <v>5.0199999999999996</v>
      </c>
      <c r="H35" s="1334">
        <f>1560000/100000</f>
        <v>15.6</v>
      </c>
      <c r="I35" s="1334">
        <v>0</v>
      </c>
      <c r="J35" s="1333">
        <f>3244000/100000</f>
        <v>32.44</v>
      </c>
      <c r="K35" s="1334">
        <f>3310000/100000</f>
        <v>33.1</v>
      </c>
      <c r="L35" s="1335">
        <f t="shared" si="1"/>
        <v>120.29999999999998</v>
      </c>
    </row>
    <row r="36" spans="2:14" ht="75" x14ac:dyDescent="0.25">
      <c r="B36" s="1714">
        <v>7</v>
      </c>
      <c r="C36" s="1715" t="s">
        <v>668</v>
      </c>
      <c r="D36" s="1714"/>
      <c r="E36" s="1334"/>
      <c r="F36" s="1334"/>
      <c r="G36" s="1334"/>
      <c r="H36" s="1334"/>
      <c r="I36" s="1334"/>
      <c r="J36" s="1334"/>
      <c r="K36" s="1334"/>
      <c r="L36" s="1332">
        <f t="shared" si="1"/>
        <v>0</v>
      </c>
    </row>
    <row r="37" spans="2:14" ht="30" x14ac:dyDescent="0.25">
      <c r="B37" s="1714">
        <v>8</v>
      </c>
      <c r="C37" s="1715" t="s">
        <v>1335</v>
      </c>
      <c r="D37" s="1714"/>
      <c r="E37" s="1335">
        <v>70.216610000000003</v>
      </c>
      <c r="F37" s="1335">
        <v>118.10059</v>
      </c>
      <c r="G37" s="1335">
        <v>30.25395</v>
      </c>
      <c r="H37" s="1335">
        <v>55.747669999999999</v>
      </c>
      <c r="I37" s="1335">
        <v>0</v>
      </c>
      <c r="J37" s="1335">
        <v>169.90998999999999</v>
      </c>
      <c r="K37" s="1335">
        <v>132.22981000000001</v>
      </c>
      <c r="L37" s="1335">
        <f t="shared" si="1"/>
        <v>576.45862</v>
      </c>
    </row>
    <row r="38" spans="2:14" ht="30" x14ac:dyDescent="0.25">
      <c r="B38" s="1719">
        <v>9</v>
      </c>
      <c r="C38" s="1720" t="s">
        <v>1336</v>
      </c>
      <c r="D38" s="1719"/>
      <c r="E38" s="1336">
        <v>1803.9</v>
      </c>
      <c r="F38" s="1336">
        <v>671.37</v>
      </c>
      <c r="G38" s="1336">
        <v>199.5</v>
      </c>
      <c r="H38" s="1336">
        <v>414.9</v>
      </c>
      <c r="I38" s="1336">
        <v>136.44</v>
      </c>
      <c r="J38" s="1336">
        <v>104.15</v>
      </c>
      <c r="K38" s="1336">
        <v>2906.21</v>
      </c>
      <c r="L38" s="1335">
        <f t="shared" si="1"/>
        <v>6236.47</v>
      </c>
    </row>
    <row r="39" spans="2:14" ht="27.75" customHeight="1" x14ac:dyDescent="0.25">
      <c r="B39" s="1714">
        <v>10</v>
      </c>
      <c r="C39" s="1715" t="s">
        <v>1337</v>
      </c>
      <c r="D39" s="1714"/>
      <c r="E39" s="1334">
        <v>49.961100000000002</v>
      </c>
      <c r="F39" s="1334">
        <v>81.594459999999998</v>
      </c>
      <c r="G39" s="1334">
        <v>7.4023599999999998</v>
      </c>
      <c r="H39" s="1334">
        <v>52.51455</v>
      </c>
      <c r="I39" s="1334">
        <v>39.749250000000004</v>
      </c>
      <c r="J39" s="1334">
        <v>89.538820000000001</v>
      </c>
      <c r="K39" s="1334">
        <v>29.764980000000001</v>
      </c>
      <c r="L39" s="1335">
        <f t="shared" si="1"/>
        <v>350.52551999999997</v>
      </c>
    </row>
    <row r="40" spans="2:14" ht="26.25" customHeight="1" x14ac:dyDescent="0.25">
      <c r="B40" s="1714">
        <v>11</v>
      </c>
      <c r="C40" s="1715" t="s">
        <v>669</v>
      </c>
      <c r="D40" s="1714"/>
      <c r="E40" s="1335">
        <f>E37+E38-E39</f>
        <v>1824.15551</v>
      </c>
      <c r="F40" s="1335">
        <f t="shared" ref="F40:K40" si="2">F37+F38-F39</f>
        <v>707.87612999999999</v>
      </c>
      <c r="G40" s="1335">
        <f t="shared" si="2"/>
        <v>222.35159000000002</v>
      </c>
      <c r="H40" s="1335">
        <f t="shared" si="2"/>
        <v>418.13311999999996</v>
      </c>
      <c r="I40" s="1335">
        <f t="shared" si="2"/>
        <v>96.690749999999994</v>
      </c>
      <c r="J40" s="1335">
        <f t="shared" si="2"/>
        <v>184.52116999999998</v>
      </c>
      <c r="K40" s="1335">
        <f t="shared" si="2"/>
        <v>3008.6748299999999</v>
      </c>
      <c r="L40" s="1335">
        <f t="shared" si="1"/>
        <v>6462.4031000000004</v>
      </c>
    </row>
    <row r="43" spans="2:14" x14ac:dyDescent="0.25">
      <c r="E43" s="1338"/>
      <c r="F43" s="1338"/>
      <c r="G43" s="1338"/>
      <c r="H43" s="1338"/>
      <c r="I43" s="1338"/>
      <c r="J43" s="1338"/>
      <c r="K43" s="1338"/>
      <c r="M43" s="1338"/>
      <c r="N43" s="1338"/>
    </row>
    <row r="44" spans="2:14" x14ac:dyDescent="0.25">
      <c r="E44" s="1338"/>
      <c r="F44" s="1338"/>
      <c r="G44" s="1338"/>
      <c r="H44" s="1338"/>
      <c r="I44" s="1338"/>
      <c r="J44" s="1338"/>
      <c r="K44" s="1338"/>
      <c r="L44" s="1338"/>
      <c r="M44" s="1338"/>
    </row>
    <row r="45" spans="2:14" x14ac:dyDescent="0.25">
      <c r="E45" s="1338"/>
      <c r="F45" s="1338"/>
      <c r="G45" s="1338"/>
      <c r="H45" s="1338"/>
      <c r="I45" s="1338"/>
      <c r="J45" s="1338"/>
      <c r="K45" s="1338"/>
    </row>
  </sheetData>
  <mergeCells count="2">
    <mergeCell ref="B2:L2"/>
    <mergeCell ref="B27:L2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Q31" sqref="Q31"/>
    </sheetView>
  </sheetViews>
  <sheetFormatPr defaultRowHeight="12.75" x14ac:dyDescent="0.2"/>
  <sheetData>
    <row r="1" spans="1:9" x14ac:dyDescent="0.2">
      <c r="A1" s="5"/>
      <c r="B1" s="293"/>
      <c r="C1" s="293"/>
      <c r="D1" s="293"/>
      <c r="E1" s="293"/>
      <c r="F1" s="293"/>
      <c r="G1" s="293"/>
      <c r="H1" s="2065" t="s">
        <v>636</v>
      </c>
      <c r="I1" s="2066"/>
    </row>
    <row r="2" spans="1:9" x14ac:dyDescent="0.2">
      <c r="A2" s="1781" t="s">
        <v>637</v>
      </c>
      <c r="B2" s="1880"/>
      <c r="C2" s="1880"/>
      <c r="D2" s="1880"/>
      <c r="E2" s="1880"/>
      <c r="F2" s="1880"/>
      <c r="G2" s="1880"/>
      <c r="H2" s="1880"/>
      <c r="I2" s="1880"/>
    </row>
    <row r="3" spans="1:9" x14ac:dyDescent="0.2">
      <c r="A3" s="293"/>
      <c r="B3" s="293"/>
      <c r="C3" s="293"/>
      <c r="D3" s="293"/>
      <c r="E3" s="293"/>
      <c r="F3" s="293"/>
      <c r="G3" s="293"/>
      <c r="H3" s="16" t="s">
        <v>638</v>
      </c>
    </row>
    <row r="4" spans="1:9" x14ac:dyDescent="0.2">
      <c r="A4" s="2042" t="s">
        <v>639</v>
      </c>
      <c r="B4" s="2042" t="s">
        <v>640</v>
      </c>
      <c r="C4" s="2042" t="s">
        <v>641</v>
      </c>
      <c r="D4" s="2067" t="s">
        <v>642</v>
      </c>
      <c r="E4" s="2068"/>
      <c r="F4" s="2069"/>
      <c r="G4" s="2067" t="s">
        <v>618</v>
      </c>
      <c r="H4" s="2068"/>
      <c r="I4" s="2069"/>
    </row>
    <row r="5" spans="1:9" ht="38.25" x14ac:dyDescent="0.2">
      <c r="A5" s="2044"/>
      <c r="B5" s="2044"/>
      <c r="C5" s="2044"/>
      <c r="D5" s="186" t="s">
        <v>643</v>
      </c>
      <c r="E5" s="186" t="s">
        <v>644</v>
      </c>
      <c r="F5" s="186" t="s">
        <v>119</v>
      </c>
      <c r="G5" s="186" t="s">
        <v>643</v>
      </c>
      <c r="H5" s="186" t="s">
        <v>644</v>
      </c>
      <c r="I5" s="186" t="s">
        <v>119</v>
      </c>
    </row>
    <row r="6" spans="1:9" x14ac:dyDescent="0.2">
      <c r="A6" s="294"/>
      <c r="B6" s="295"/>
      <c r="C6" s="294"/>
      <c r="D6" s="296"/>
      <c r="E6" s="297"/>
      <c r="F6" s="296"/>
      <c r="G6" s="296"/>
      <c r="H6" s="296"/>
      <c r="I6" s="296"/>
    </row>
    <row r="7" spans="1:9" x14ac:dyDescent="0.2">
      <c r="A7" s="298"/>
      <c r="B7" s="299"/>
      <c r="C7" s="298"/>
      <c r="D7" s="296"/>
      <c r="E7" s="297"/>
      <c r="F7" s="296"/>
      <c r="G7" s="296"/>
      <c r="H7" s="296"/>
      <c r="I7" s="296"/>
    </row>
    <row r="8" spans="1:9" x14ac:dyDescent="0.2">
      <c r="A8" s="300"/>
      <c r="B8" s="301"/>
      <c r="C8" s="294"/>
      <c r="D8" s="302"/>
      <c r="E8" s="303"/>
      <c r="F8" s="302"/>
      <c r="G8" s="302"/>
      <c r="H8" s="302"/>
      <c r="I8" s="302"/>
    </row>
    <row r="9" spans="1:9" x14ac:dyDescent="0.2">
      <c r="A9" s="300"/>
      <c r="B9" s="301"/>
      <c r="C9" s="294"/>
      <c r="D9" s="304"/>
      <c r="E9" s="305"/>
      <c r="F9" s="304"/>
      <c r="G9" s="304"/>
      <c r="H9" s="304"/>
      <c r="I9" s="304"/>
    </row>
    <row r="10" spans="1:9" x14ac:dyDescent="0.2">
      <c r="A10" s="306"/>
      <c r="B10" s="307"/>
      <c r="C10" s="308"/>
      <c r="D10" s="309"/>
      <c r="E10" s="309"/>
      <c r="F10" s="309"/>
      <c r="G10" s="309"/>
      <c r="H10" s="309"/>
      <c r="I10" s="309"/>
    </row>
    <row r="11" spans="1:9" x14ac:dyDescent="0.2">
      <c r="A11" s="310"/>
      <c r="B11" s="311"/>
      <c r="C11" s="312"/>
      <c r="D11" s="313"/>
      <c r="E11" s="313"/>
      <c r="F11" s="313"/>
      <c r="G11" s="313"/>
      <c r="H11" s="313"/>
      <c r="I11" s="313"/>
    </row>
    <row r="12" spans="1:9" x14ac:dyDescent="0.2">
      <c r="A12" s="314"/>
      <c r="B12" s="315"/>
      <c r="C12" s="316"/>
      <c r="D12" s="317"/>
      <c r="E12" s="317"/>
      <c r="F12" s="313"/>
      <c r="G12" s="317"/>
      <c r="H12" s="317"/>
      <c r="I12" s="313"/>
    </row>
    <row r="13" spans="1:9" x14ac:dyDescent="0.2">
      <c r="A13" s="306"/>
      <c r="B13" s="307"/>
      <c r="C13" s="318"/>
      <c r="D13" s="309"/>
      <c r="E13" s="319"/>
      <c r="F13" s="309"/>
      <c r="G13" s="309"/>
      <c r="H13" s="319"/>
      <c r="I13" s="309"/>
    </row>
    <row r="14" spans="1:9" x14ac:dyDescent="0.2">
      <c r="A14" s="310"/>
      <c r="B14" s="311"/>
      <c r="C14" s="312"/>
      <c r="D14" s="313"/>
      <c r="E14" s="320"/>
      <c r="F14" s="313"/>
      <c r="G14" s="313"/>
      <c r="H14" s="320"/>
      <c r="I14" s="313"/>
    </row>
    <row r="15" spans="1:9" ht="15" x14ac:dyDescent="0.2">
      <c r="A15" s="310"/>
      <c r="B15" s="311"/>
      <c r="C15" s="312"/>
      <c r="D15" s="321" t="s">
        <v>645</v>
      </c>
      <c r="E15" s="320"/>
      <c r="F15" s="313"/>
      <c r="G15" s="313"/>
      <c r="H15" s="320"/>
      <c r="I15" s="313"/>
    </row>
    <row r="16" spans="1:9" x14ac:dyDescent="0.2">
      <c r="A16" s="310"/>
      <c r="B16" s="311"/>
      <c r="C16" s="312"/>
      <c r="D16" s="313"/>
      <c r="E16" s="320"/>
      <c r="F16" s="313"/>
      <c r="G16" s="313"/>
      <c r="H16" s="320"/>
      <c r="I16" s="313"/>
    </row>
    <row r="17" spans="1:9" x14ac:dyDescent="0.2">
      <c r="A17" s="310"/>
      <c r="B17" s="311"/>
      <c r="C17" s="312"/>
      <c r="D17" s="313"/>
      <c r="E17" s="320"/>
      <c r="F17" s="313"/>
      <c r="G17" s="313"/>
      <c r="H17" s="320"/>
      <c r="I17" s="313"/>
    </row>
    <row r="18" spans="1:9" x14ac:dyDescent="0.2">
      <c r="A18" s="310"/>
      <c r="B18" s="311"/>
      <c r="C18" s="312"/>
      <c r="D18" s="313"/>
      <c r="E18" s="320"/>
      <c r="F18" s="313"/>
      <c r="G18" s="313"/>
      <c r="H18" s="320"/>
      <c r="I18" s="313"/>
    </row>
    <row r="19" spans="1:9" x14ac:dyDescent="0.2">
      <c r="A19" s="310"/>
      <c r="B19" s="311"/>
      <c r="C19" s="312"/>
      <c r="D19" s="313"/>
      <c r="E19" s="320"/>
      <c r="F19" s="313"/>
      <c r="G19" s="313"/>
      <c r="H19" s="320"/>
      <c r="I19" s="313"/>
    </row>
    <row r="20" spans="1:9" x14ac:dyDescent="0.2">
      <c r="A20" s="310"/>
      <c r="B20" s="311"/>
      <c r="C20" s="312"/>
      <c r="D20" s="313"/>
      <c r="E20" s="320"/>
      <c r="F20" s="313"/>
      <c r="G20" s="313"/>
      <c r="H20" s="320"/>
      <c r="I20" s="313"/>
    </row>
    <row r="21" spans="1:9" x14ac:dyDescent="0.2">
      <c r="A21" s="310"/>
      <c r="B21" s="311"/>
      <c r="C21" s="312"/>
      <c r="D21" s="313"/>
      <c r="E21" s="320"/>
      <c r="F21" s="313"/>
      <c r="G21" s="313"/>
      <c r="H21" s="320"/>
      <c r="I21" s="313"/>
    </row>
    <row r="22" spans="1:9" x14ac:dyDescent="0.2">
      <c r="A22" s="310"/>
      <c r="B22" s="311"/>
      <c r="C22" s="312"/>
      <c r="D22" s="313"/>
      <c r="E22" s="320"/>
      <c r="F22" s="313"/>
      <c r="G22" s="313"/>
      <c r="H22" s="320"/>
      <c r="I22" s="313"/>
    </row>
    <row r="23" spans="1:9" x14ac:dyDescent="0.2">
      <c r="A23" s="310"/>
      <c r="B23" s="311"/>
      <c r="C23" s="312"/>
      <c r="D23" s="313"/>
      <c r="E23" s="320"/>
      <c r="F23" s="313"/>
      <c r="G23" s="313"/>
      <c r="H23" s="320"/>
      <c r="I23" s="313"/>
    </row>
    <row r="24" spans="1:9" x14ac:dyDescent="0.2">
      <c r="A24" s="310"/>
      <c r="B24" s="311"/>
      <c r="C24" s="312"/>
      <c r="D24" s="313"/>
      <c r="E24" s="320"/>
      <c r="F24" s="313"/>
      <c r="G24" s="313"/>
      <c r="H24" s="320"/>
      <c r="I24" s="313"/>
    </row>
    <row r="25" spans="1:9" x14ac:dyDescent="0.2">
      <c r="A25" s="310"/>
      <c r="B25" s="311"/>
      <c r="C25" s="312"/>
      <c r="D25" s="313"/>
      <c r="E25" s="320"/>
      <c r="F25" s="313"/>
      <c r="G25" s="313"/>
      <c r="H25" s="320"/>
      <c r="I25" s="313"/>
    </row>
    <row r="26" spans="1:9" x14ac:dyDescent="0.2">
      <c r="A26" s="310"/>
      <c r="B26" s="311"/>
      <c r="C26" s="312"/>
      <c r="D26" s="313"/>
      <c r="E26" s="320"/>
      <c r="F26" s="313"/>
      <c r="G26" s="313"/>
      <c r="H26" s="320"/>
      <c r="I26" s="313"/>
    </row>
    <row r="27" spans="1:9" x14ac:dyDescent="0.2">
      <c r="A27" s="310"/>
      <c r="B27" s="311"/>
      <c r="C27" s="312"/>
      <c r="D27" s="313"/>
      <c r="E27" s="320"/>
      <c r="F27" s="313"/>
      <c r="G27" s="313"/>
      <c r="H27" s="320"/>
      <c r="I27" s="313"/>
    </row>
    <row r="28" spans="1:9" x14ac:dyDescent="0.2">
      <c r="A28" s="314"/>
      <c r="B28" s="315"/>
      <c r="C28" s="322"/>
      <c r="D28" s="317"/>
      <c r="E28" s="323"/>
      <c r="F28" s="324"/>
      <c r="G28" s="317"/>
      <c r="H28" s="323"/>
      <c r="I28" s="324"/>
    </row>
    <row r="29" spans="1:9" x14ac:dyDescent="0.2">
      <c r="A29" s="325"/>
      <c r="B29" s="326"/>
      <c r="C29" s="312"/>
      <c r="D29" s="309"/>
      <c r="E29" s="309"/>
      <c r="F29" s="313"/>
      <c r="G29" s="309"/>
      <c r="H29" s="309"/>
      <c r="I29" s="313"/>
    </row>
    <row r="30" spans="1:9" x14ac:dyDescent="0.2">
      <c r="A30" s="310"/>
      <c r="B30" s="311"/>
      <c r="C30" s="312"/>
      <c r="D30" s="313"/>
      <c r="E30" s="313"/>
      <c r="F30" s="313"/>
      <c r="G30" s="313"/>
      <c r="H30" s="313"/>
      <c r="I30" s="313"/>
    </row>
    <row r="31" spans="1:9" x14ac:dyDescent="0.2">
      <c r="A31" s="327"/>
      <c r="B31" s="311"/>
      <c r="C31" s="312"/>
      <c r="D31" s="313"/>
      <c r="E31" s="313"/>
      <c r="F31" s="313"/>
      <c r="G31" s="313"/>
      <c r="H31" s="313"/>
      <c r="I31" s="313"/>
    </row>
    <row r="32" spans="1:9" x14ac:dyDescent="0.2">
      <c r="A32" s="310"/>
      <c r="B32" s="311"/>
      <c r="C32" s="312"/>
      <c r="D32" s="313"/>
      <c r="E32" s="313"/>
      <c r="F32" s="313"/>
      <c r="G32" s="313"/>
      <c r="H32" s="313"/>
      <c r="I32" s="313"/>
    </row>
    <row r="33" spans="1:9" x14ac:dyDescent="0.2">
      <c r="A33" s="310"/>
      <c r="B33" s="311"/>
      <c r="C33" s="312"/>
      <c r="D33" s="313"/>
      <c r="E33" s="313"/>
      <c r="F33" s="313"/>
      <c r="G33" s="313"/>
      <c r="H33" s="313"/>
      <c r="I33" s="313"/>
    </row>
    <row r="34" spans="1:9" x14ac:dyDescent="0.2">
      <c r="A34" s="314"/>
      <c r="B34" s="315"/>
      <c r="C34" s="322"/>
      <c r="D34" s="317"/>
      <c r="E34" s="317"/>
      <c r="F34" s="317"/>
      <c r="G34" s="317"/>
      <c r="H34" s="317"/>
      <c r="I34" s="317"/>
    </row>
  </sheetData>
  <mergeCells count="7">
    <mergeCell ref="H1:I1"/>
    <mergeCell ref="A2:I2"/>
    <mergeCell ref="A4:A5"/>
    <mergeCell ref="B4:B5"/>
    <mergeCell ref="C4:C5"/>
    <mergeCell ref="D4:F4"/>
    <mergeCell ref="G4:I4"/>
  </mergeCells>
  <printOptions horizontalCentered="1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4"/>
  <sheetViews>
    <sheetView topLeftCell="A17" zoomScale="140" zoomScaleNormal="140" workbookViewId="0">
      <selection sqref="A1:G40"/>
    </sheetView>
  </sheetViews>
  <sheetFormatPr defaultColWidth="8.7109375" defaultRowHeight="12.75" x14ac:dyDescent="0.2"/>
  <cols>
    <col min="1" max="1" width="8.7109375" style="1551"/>
    <col min="2" max="2" width="40" style="1551" customWidth="1"/>
    <col min="3" max="3" width="13.140625" style="1551" customWidth="1"/>
    <col min="4" max="5" width="11.5703125" style="1551" bestFit="1" customWidth="1"/>
    <col min="6" max="6" width="11.7109375" style="1551" customWidth="1"/>
    <col min="7" max="7" width="10.7109375" style="1551" customWidth="1"/>
    <col min="8" max="16384" width="8.7109375" style="1551"/>
  </cols>
  <sheetData>
    <row r="1" spans="1:7" x14ac:dyDescent="0.2">
      <c r="A1" s="2080" t="s">
        <v>646</v>
      </c>
      <c r="B1" s="2080"/>
      <c r="C1" s="2080"/>
      <c r="D1" s="2080"/>
      <c r="E1" s="2080"/>
      <c r="F1" s="2080"/>
      <c r="G1" s="1722" t="s">
        <v>1349</v>
      </c>
    </row>
    <row r="2" spans="1:7" x14ac:dyDescent="0.2">
      <c r="A2" s="1552"/>
      <c r="B2" s="1552"/>
      <c r="C2" s="1552"/>
      <c r="D2" s="1552"/>
      <c r="E2" s="1552"/>
      <c r="F2" s="1552"/>
      <c r="G2" s="1195" t="s">
        <v>638</v>
      </c>
    </row>
    <row r="3" spans="1:7" x14ac:dyDescent="0.2">
      <c r="A3" s="5"/>
      <c r="B3" s="1553"/>
      <c r="C3" s="1195"/>
      <c r="D3" s="1195"/>
      <c r="E3" s="1195"/>
      <c r="F3" s="1195"/>
      <c r="G3" s="2" t="s">
        <v>647</v>
      </c>
    </row>
    <row r="4" spans="1:7" ht="12.6" customHeight="1" x14ac:dyDescent="0.2">
      <c r="A4" s="2042" t="s">
        <v>166</v>
      </c>
      <c r="B4" s="2042" t="s">
        <v>648</v>
      </c>
      <c r="C4" s="2074" t="s">
        <v>649</v>
      </c>
      <c r="D4" s="2075"/>
      <c r="E4" s="2075"/>
      <c r="F4" s="2075"/>
      <c r="G4" s="2076"/>
    </row>
    <row r="5" spans="1:7" x14ac:dyDescent="0.2">
      <c r="A5" s="2070"/>
      <c r="B5" s="2072"/>
      <c r="C5" s="2077"/>
      <c r="D5" s="2078"/>
      <c r="E5" s="2078"/>
      <c r="F5" s="2078"/>
      <c r="G5" s="2079"/>
    </row>
    <row r="6" spans="1:7" ht="30" x14ac:dyDescent="0.25">
      <c r="A6" s="2071"/>
      <c r="B6" s="2073"/>
      <c r="C6" s="1556" t="s">
        <v>734</v>
      </c>
      <c r="D6" s="1556" t="s">
        <v>735</v>
      </c>
      <c r="E6" s="1556" t="s">
        <v>736</v>
      </c>
      <c r="F6" s="1556" t="s">
        <v>737</v>
      </c>
      <c r="G6" s="1557" t="s">
        <v>119</v>
      </c>
    </row>
    <row r="7" spans="1:7" ht="15" x14ac:dyDescent="0.25">
      <c r="A7" s="1554"/>
      <c r="B7" s="1555"/>
      <c r="C7" s="1556"/>
      <c r="D7" s="1556"/>
      <c r="E7" s="1556"/>
      <c r="F7" s="1556"/>
      <c r="G7" s="1557"/>
    </row>
    <row r="8" spans="1:7" x14ac:dyDescent="0.2">
      <c r="A8" s="1554"/>
      <c r="B8" s="1340" t="s">
        <v>749</v>
      </c>
      <c r="C8" s="1340"/>
      <c r="D8" s="1340" t="s">
        <v>750</v>
      </c>
      <c r="E8" s="1340" t="s">
        <v>472</v>
      </c>
      <c r="F8" s="1340" t="s">
        <v>751</v>
      </c>
      <c r="G8" s="1340" t="s">
        <v>119</v>
      </c>
    </row>
    <row r="9" spans="1:7" x14ac:dyDescent="0.2">
      <c r="A9" s="1554"/>
      <c r="B9" s="1340" t="s">
        <v>752</v>
      </c>
      <c r="C9" s="1558">
        <f>'[32]Voltage wise cost of supply'!$C$21</f>
        <v>29955.957698137889</v>
      </c>
      <c r="D9" s="1558">
        <f>'[32]Voltage wise cost of supply'!D21</f>
        <v>29955.957698137889</v>
      </c>
      <c r="E9" s="1558">
        <f>'[32]Voltage wise cost of supply'!E21</f>
        <v>29026.713553469977</v>
      </c>
      <c r="F9" s="1558">
        <f>'[32]Voltage wise cost of supply'!F21</f>
        <v>22340.503701763169</v>
      </c>
      <c r="G9" s="1340"/>
    </row>
    <row r="10" spans="1:7" x14ac:dyDescent="0.2">
      <c r="A10" s="1554"/>
      <c r="B10" s="1340" t="s">
        <v>1149</v>
      </c>
      <c r="C10" s="1340"/>
      <c r="D10" s="1558">
        <f>'[32]Voltage wise cost of supply'!D22</f>
        <v>929.24414466791131</v>
      </c>
      <c r="E10" s="1558">
        <f>'[32]Voltage wise cost of supply'!E22</f>
        <v>1000.689851706812</v>
      </c>
      <c r="F10" s="1558">
        <f>'[32]Voltage wise cost of supply'!F22</f>
        <v>2409.9489908259125</v>
      </c>
      <c r="G10" s="1558">
        <f>SUM(D10:F10)</f>
        <v>4339.8829872006354</v>
      </c>
    </row>
    <row r="11" spans="1:7" x14ac:dyDescent="0.2">
      <c r="A11" s="1559"/>
      <c r="B11" s="1340" t="s">
        <v>754</v>
      </c>
      <c r="C11" s="1340"/>
      <c r="D11" s="1558">
        <f>'[32]Voltage wise cost of supply'!D23</f>
        <v>570.69000000000005</v>
      </c>
      <c r="E11" s="1558">
        <f>'[32]Voltage wise cost of supply'!E23</f>
        <v>5114.83</v>
      </c>
      <c r="F11" s="1558">
        <f>'[32]Voltage wise cost of supply'!F23</f>
        <v>19930.55471093726</v>
      </c>
      <c r="G11" s="1558">
        <f>SUM(D11:F11)</f>
        <v>25616.074710937261</v>
      </c>
    </row>
    <row r="12" spans="1:7" ht="15" x14ac:dyDescent="0.25">
      <c r="A12" s="1559"/>
      <c r="B12" s="1340" t="s">
        <v>755</v>
      </c>
      <c r="C12" s="1556"/>
      <c r="D12" s="1560">
        <f>D10/C9*100</f>
        <v>3.1020345068976867</v>
      </c>
      <c r="E12" s="1560">
        <f>E10/E9*100</f>
        <v>3.4474789915966397</v>
      </c>
      <c r="F12" s="1560">
        <f>F10/E9*100</f>
        <v>8.3025210084033674</v>
      </c>
      <c r="G12" s="1561">
        <f>G10/C9*100</f>
        <v>14.487545452337214</v>
      </c>
    </row>
    <row r="13" spans="1:7" ht="15" x14ac:dyDescent="0.25">
      <c r="A13" s="1559"/>
      <c r="B13" s="1562"/>
      <c r="C13" s="1556"/>
      <c r="D13" s="1556"/>
      <c r="E13" s="1556"/>
      <c r="F13" s="1556"/>
      <c r="G13" s="1557"/>
    </row>
    <row r="14" spans="1:7" ht="15" x14ac:dyDescent="0.25">
      <c r="A14" s="1559"/>
      <c r="B14" s="1563" t="s">
        <v>748</v>
      </c>
      <c r="C14" s="1556"/>
      <c r="D14" s="1556"/>
      <c r="E14" s="1556"/>
      <c r="F14" s="1556"/>
      <c r="G14" s="1557"/>
    </row>
    <row r="15" spans="1:7" ht="15" x14ac:dyDescent="0.25">
      <c r="A15" s="1559"/>
      <c r="B15" s="1564" t="s">
        <v>744</v>
      </c>
      <c r="C15" s="1565">
        <f>'[32]Voltage wise cost of supply'!C26</f>
        <v>8005.1926142293305</v>
      </c>
      <c r="D15" s="1556"/>
      <c r="E15" s="1556"/>
      <c r="F15" s="1556"/>
      <c r="G15" s="1557"/>
    </row>
    <row r="16" spans="1:7" ht="15" x14ac:dyDescent="0.25">
      <c r="A16" s="1559"/>
      <c r="B16" s="1564" t="s">
        <v>745</v>
      </c>
      <c r="C16" s="1565">
        <f>'[32]Voltage wise cost of supply'!C27</f>
        <v>9624.3734906638165</v>
      </c>
      <c r="D16" s="1556"/>
      <c r="E16" s="1556"/>
      <c r="F16" s="1556"/>
      <c r="G16" s="1557"/>
    </row>
    <row r="17" spans="1:7" ht="15" x14ac:dyDescent="0.25">
      <c r="A17" s="1559"/>
      <c r="B17" s="1564" t="s">
        <v>746</v>
      </c>
      <c r="C17" s="1565">
        <f>'[32]Voltage wise cost of supply'!C28</f>
        <v>3538.0808962969732</v>
      </c>
      <c r="D17" s="1556"/>
      <c r="E17" s="1556"/>
      <c r="F17" s="1556"/>
      <c r="G17" s="1557"/>
    </row>
    <row r="18" spans="1:7" ht="15" x14ac:dyDescent="0.25">
      <c r="A18" s="1559"/>
      <c r="B18" s="1564" t="s">
        <v>747</v>
      </c>
      <c r="C18" s="1565">
        <f>'[32]Voltage wise cost of supply'!C29</f>
        <v>1735.3540296156807</v>
      </c>
      <c r="D18" s="1556"/>
      <c r="E18" s="1556"/>
      <c r="F18" s="1556"/>
      <c r="G18" s="1557"/>
    </row>
    <row r="19" spans="1:7" ht="15" x14ac:dyDescent="0.25">
      <c r="A19" s="1559"/>
      <c r="B19" s="367" t="s">
        <v>119</v>
      </c>
      <c r="C19" s="198">
        <f>SUM(C15:C18)</f>
        <v>22903.001030805797</v>
      </c>
      <c r="D19" s="1556"/>
      <c r="E19" s="1556"/>
      <c r="F19" s="1556"/>
      <c r="G19" s="1557"/>
    </row>
    <row r="20" spans="1:7" ht="15" x14ac:dyDescent="0.25">
      <c r="A20" s="1559"/>
      <c r="B20" s="1562"/>
      <c r="C20" s="1560"/>
      <c r="D20" s="1556"/>
      <c r="E20" s="1556"/>
      <c r="F20" s="1556"/>
      <c r="G20" s="1557"/>
    </row>
    <row r="21" spans="1:7" ht="15" x14ac:dyDescent="0.25">
      <c r="A21" s="1559"/>
      <c r="B21" s="1562"/>
      <c r="C21" s="1560"/>
      <c r="D21" s="1556"/>
      <c r="E21" s="1556"/>
      <c r="F21" s="1556"/>
      <c r="G21" s="1557"/>
    </row>
    <row r="22" spans="1:7" ht="15" x14ac:dyDescent="0.25">
      <c r="A22" s="1559"/>
      <c r="B22" s="1562"/>
      <c r="C22" s="1556"/>
      <c r="D22" s="1556"/>
      <c r="E22" s="1556"/>
      <c r="F22" s="1556"/>
      <c r="G22" s="1557"/>
    </row>
    <row r="23" spans="1:7" ht="25.5" x14ac:dyDescent="0.2">
      <c r="A23" s="1559"/>
      <c r="B23" s="1566"/>
      <c r="C23" s="1195"/>
      <c r="D23" s="1566" t="s">
        <v>735</v>
      </c>
      <c r="E23" s="1566" t="s">
        <v>736</v>
      </c>
      <c r="F23" s="1566" t="s">
        <v>737</v>
      </c>
      <c r="G23" s="1566" t="s">
        <v>119</v>
      </c>
    </row>
    <row r="24" spans="1:7" ht="15" x14ac:dyDescent="0.25">
      <c r="A24" s="1559"/>
      <c r="B24" s="1340" t="s">
        <v>755</v>
      </c>
      <c r="C24" s="1556"/>
      <c r="D24" s="1721">
        <f>'[32]Voltage wise cost of supply'!C37</f>
        <v>3.1020345068976867E-2</v>
      </c>
      <c r="E24" s="1721">
        <f>'[32]Voltage wise cost of supply'!D37</f>
        <v>3.4474789915966399E-2</v>
      </c>
      <c r="F24" s="1721">
        <f>'[32]Voltage wise cost of supply'!E37</f>
        <v>8.3025210084033671E-2</v>
      </c>
      <c r="G24" s="1721">
        <f>'[32]Voltage wise cost of supply'!F37</f>
        <v>0.14487545452337189</v>
      </c>
    </row>
    <row r="25" spans="1:7" ht="15" x14ac:dyDescent="0.25">
      <c r="A25" s="1559"/>
      <c r="B25" s="1340" t="s">
        <v>753</v>
      </c>
      <c r="C25" s="1556"/>
      <c r="D25" s="1567">
        <f>'[32]Voltage wise cost of supply'!C38</f>
        <v>929.24414466791131</v>
      </c>
      <c r="E25" s="1567">
        <f>'[32]Voltage wise cost of supply'!D38</f>
        <v>1000.689851706812</v>
      </c>
      <c r="F25" s="1567">
        <f>'[32]Voltage wise cost of supply'!E38</f>
        <v>2409.9489908259125</v>
      </c>
      <c r="G25" s="1567">
        <f>'[32]Voltage wise cost of supply'!F38</f>
        <v>4339.8829872006354</v>
      </c>
    </row>
    <row r="26" spans="1:7" ht="15" x14ac:dyDescent="0.25">
      <c r="A26" s="1559"/>
      <c r="B26" s="1340" t="s">
        <v>759</v>
      </c>
      <c r="C26" s="1556"/>
      <c r="D26" s="1567">
        <f>'[32]Voltage wise cost of supply'!C39</f>
        <v>570.69000000000005</v>
      </c>
      <c r="E26" s="1567">
        <f>'[32]Voltage wise cost of supply'!D39</f>
        <v>5114.83</v>
      </c>
      <c r="F26" s="1567">
        <f>'[32]Voltage wise cost of supply'!E39</f>
        <v>19930.55471093726</v>
      </c>
      <c r="G26" s="1567">
        <f>'[32]Voltage wise cost of supply'!F39</f>
        <v>25616.074710937261</v>
      </c>
    </row>
    <row r="27" spans="1:7" ht="15" x14ac:dyDescent="0.25">
      <c r="A27" s="1559"/>
      <c r="B27" s="1340" t="s">
        <v>760</v>
      </c>
      <c r="C27" s="1556"/>
      <c r="D27" s="1567">
        <f>'[32]Voltage wise cost of supply'!C40</f>
        <v>1499.9341446679114</v>
      </c>
      <c r="E27" s="1567">
        <f>'[32]Voltage wise cost of supply'!D40</f>
        <v>6115.519851706812</v>
      </c>
      <c r="F27" s="1567">
        <f>'[32]Voltage wise cost of supply'!E40</f>
        <v>22340.503701763173</v>
      </c>
      <c r="G27" s="1567">
        <f>'[32]Voltage wise cost of supply'!F40</f>
        <v>29955.957698137896</v>
      </c>
    </row>
    <row r="28" spans="1:7" ht="15" x14ac:dyDescent="0.25">
      <c r="A28" s="1559"/>
      <c r="B28" s="1340" t="s">
        <v>761</v>
      </c>
      <c r="C28" s="1556"/>
      <c r="D28" s="1567">
        <f>'[32]Voltage wise cost of supply'!C41</f>
        <v>28456.023553469979</v>
      </c>
      <c r="E28" s="1567">
        <f>'[32]Voltage wise cost of supply'!D41</f>
        <v>22340.503701763169</v>
      </c>
      <c r="F28" s="1567"/>
      <c r="G28" s="1567"/>
    </row>
    <row r="29" spans="1:7" ht="15" x14ac:dyDescent="0.25">
      <c r="A29" s="1559"/>
      <c r="B29" s="1340" t="s">
        <v>762</v>
      </c>
      <c r="C29" s="1556"/>
      <c r="D29" s="1567">
        <f>'[32]Voltage wise cost of supply'!C42</f>
        <v>29026.713553469977</v>
      </c>
      <c r="E29" s="1567">
        <f>'[32]Voltage wise cost of supply'!D42</f>
        <v>27455.333701763171</v>
      </c>
      <c r="F29" s="1567">
        <f>'[32]Voltage wise cost of supply'!E42</f>
        <v>19930.55471093726</v>
      </c>
      <c r="G29" s="1567"/>
    </row>
    <row r="30" spans="1:7" ht="15" x14ac:dyDescent="0.25">
      <c r="A30" s="1559"/>
      <c r="B30" s="1562"/>
      <c r="C30" s="1556"/>
      <c r="D30" s="1556"/>
      <c r="E30" s="1556"/>
      <c r="F30" s="1556"/>
      <c r="G30" s="1557"/>
    </row>
    <row r="31" spans="1:7" ht="15" x14ac:dyDescent="0.25">
      <c r="A31" s="1559"/>
      <c r="B31" s="1562"/>
      <c r="C31" s="1556"/>
      <c r="D31" s="1556"/>
      <c r="E31" s="1556"/>
      <c r="F31" s="1556"/>
      <c r="G31" s="1557"/>
    </row>
    <row r="32" spans="1:7" ht="15" x14ac:dyDescent="0.25">
      <c r="A32" s="1559"/>
      <c r="B32" s="1562"/>
      <c r="C32" s="1556"/>
      <c r="D32" s="1556"/>
      <c r="E32" s="1556"/>
      <c r="F32" s="1556"/>
      <c r="G32" s="1557"/>
    </row>
    <row r="33" spans="1:7" ht="15" x14ac:dyDescent="0.25">
      <c r="A33" s="1559"/>
      <c r="B33" s="1562"/>
      <c r="C33" s="1556"/>
      <c r="D33" s="1556"/>
      <c r="E33" s="1556"/>
      <c r="F33" s="1556"/>
      <c r="G33" s="1557"/>
    </row>
    <row r="34" spans="1:7" x14ac:dyDescent="0.2">
      <c r="A34" s="4"/>
      <c r="B34" s="1340" t="s">
        <v>738</v>
      </c>
      <c r="C34" s="1568">
        <f>'[32]Voltage wise cost of supply'!C47</f>
        <v>2.6723207099224027</v>
      </c>
      <c r="D34" s="1568">
        <f>'[32]Voltage wise cost of supply'!D47</f>
        <v>2.7578708142356527</v>
      </c>
      <c r="E34" s="1568">
        <f>'[32]Voltage wise cost of supply'!E47</f>
        <v>2.8583894736008011</v>
      </c>
      <c r="F34" s="1568">
        <f>'[32]Voltage wise cost of supply'!F47</f>
        <v>3.2040182294081552</v>
      </c>
      <c r="G34" s="15"/>
    </row>
    <row r="35" spans="1:7" x14ac:dyDescent="0.2">
      <c r="A35" s="1569"/>
      <c r="B35" s="1340" t="s">
        <v>739</v>
      </c>
      <c r="C35" s="1568"/>
      <c r="D35" s="1568">
        <f>'[32]Voltage wise cost of supply'!D48</f>
        <v>3.3156952036388141</v>
      </c>
      <c r="E35" s="1568">
        <f>'[32]Voltage wise cost of supply'!E48</f>
        <v>3.4365454026448172</v>
      </c>
      <c r="F35" s="1568">
        <f>'[32]Voltage wise cost of supply'!F48</f>
        <v>3.852083216074889</v>
      </c>
      <c r="G35" s="15"/>
    </row>
    <row r="36" spans="1:7" x14ac:dyDescent="0.2">
      <c r="A36" s="4"/>
      <c r="B36" s="1340" t="s">
        <v>740</v>
      </c>
      <c r="C36" s="1568"/>
      <c r="D36" s="1568"/>
      <c r="E36" s="1568">
        <f>'[32]Voltage wise cost of supply'!E49</f>
        <v>1.2886679632925966</v>
      </c>
      <c r="F36" s="1568">
        <f>'[32]Voltage wise cost of supply'!F49</f>
        <v>1.4444902222657705</v>
      </c>
      <c r="G36" s="1566"/>
    </row>
    <row r="37" spans="1:7" x14ac:dyDescent="0.2">
      <c r="A37" s="1340"/>
      <c r="B37" s="1340" t="s">
        <v>741</v>
      </c>
      <c r="C37" s="1568"/>
      <c r="D37" s="1568"/>
      <c r="E37" s="1568"/>
      <c r="F37" s="1568">
        <f>'[32]Voltage wise cost of supply'!F50</f>
        <v>0.87070031656638902</v>
      </c>
      <c r="G37" s="1340"/>
    </row>
    <row r="38" spans="1:7" x14ac:dyDescent="0.2">
      <c r="A38" s="1340"/>
      <c r="B38" s="4" t="s">
        <v>742</v>
      </c>
      <c r="C38" s="1568">
        <f>C34</f>
        <v>2.6723207099224027</v>
      </c>
      <c r="D38" s="1568">
        <f>SUM(D34:D37)</f>
        <v>6.0735660178744668</v>
      </c>
      <c r="E38" s="1568">
        <f>SUM(E34:E37)</f>
        <v>7.583602839538214</v>
      </c>
      <c r="F38" s="1568">
        <f>SUM(F34:F37)</f>
        <v>9.3712919843152029</v>
      </c>
      <c r="G38" s="1566"/>
    </row>
    <row r="39" spans="1:7" x14ac:dyDescent="0.2">
      <c r="A39" s="1340"/>
      <c r="B39" s="1340"/>
      <c r="C39" s="1570"/>
      <c r="D39" s="1570"/>
      <c r="E39" s="1570"/>
      <c r="F39" s="1570"/>
      <c r="G39" s="1566"/>
    </row>
    <row r="40" spans="1:7" x14ac:dyDescent="0.2">
      <c r="A40" s="4"/>
      <c r="B40" s="4" t="s">
        <v>743</v>
      </c>
      <c r="C40" s="4"/>
      <c r="D40" s="198">
        <f>D11*D38/10</f>
        <v>346.61233907407802</v>
      </c>
      <c r="E40" s="198">
        <f>E11*E38/10</f>
        <v>3878.8839311755241</v>
      </c>
      <c r="F40" s="198">
        <f>F11*F38/10</f>
        <v>18677.504760556196</v>
      </c>
      <c r="G40" s="198">
        <f>SUM(D40:F40)</f>
        <v>22903.001030805797</v>
      </c>
    </row>
    <row r="41" spans="1:7" x14ac:dyDescent="0.2">
      <c r="A41" s="1571"/>
      <c r="B41" s="1572"/>
      <c r="C41" s="1573"/>
      <c r="D41" s="1573"/>
      <c r="E41" s="1573"/>
      <c r="F41" s="1573"/>
      <c r="G41" s="1571"/>
    </row>
    <row r="42" spans="1:7" x14ac:dyDescent="0.2">
      <c r="A42" s="1571"/>
      <c r="B42" s="1572"/>
      <c r="C42" s="1573"/>
      <c r="D42" s="1573"/>
      <c r="E42" s="1573"/>
      <c r="F42" s="1573"/>
      <c r="G42" s="1571"/>
    </row>
    <row r="43" spans="1:7" x14ac:dyDescent="0.2">
      <c r="A43" s="1571"/>
      <c r="B43" s="1572" t="s">
        <v>811</v>
      </c>
      <c r="C43" s="1573"/>
      <c r="D43" s="1573"/>
      <c r="E43" s="1573"/>
      <c r="F43" s="1573"/>
      <c r="G43" s="1571"/>
    </row>
    <row r="44" spans="1:7" x14ac:dyDescent="0.2">
      <c r="A44" s="1574"/>
      <c r="B44" s="1575"/>
      <c r="C44" s="1576"/>
      <c r="D44" s="1576"/>
      <c r="E44" s="1576"/>
      <c r="F44" s="1576"/>
      <c r="G44" s="1574"/>
    </row>
    <row r="45" spans="1:7" x14ac:dyDescent="0.2">
      <c r="A45" s="1574"/>
      <c r="B45" s="1575"/>
      <c r="C45" s="1576"/>
      <c r="D45" s="1576"/>
      <c r="E45" s="1576"/>
      <c r="F45" s="1576"/>
      <c r="G45" s="1574"/>
    </row>
    <row r="46" spans="1:7" x14ac:dyDescent="0.2">
      <c r="A46" s="1574"/>
      <c r="B46" s="1575"/>
      <c r="C46" s="1576"/>
      <c r="D46" s="1576"/>
      <c r="E46" s="1576"/>
      <c r="F46" s="1576"/>
      <c r="G46" s="1574"/>
    </row>
    <row r="47" spans="1:7" x14ac:dyDescent="0.2">
      <c r="A47" s="1574"/>
      <c r="B47" s="1575"/>
      <c r="C47" s="1576"/>
      <c r="D47" s="1576"/>
      <c r="E47" s="1576"/>
      <c r="F47" s="1576"/>
      <c r="G47" s="1574"/>
    </row>
    <row r="48" spans="1:7" x14ac:dyDescent="0.2">
      <c r="A48" s="1574"/>
      <c r="B48" s="1575"/>
      <c r="C48" s="1576"/>
      <c r="D48" s="1576"/>
      <c r="E48" s="1576"/>
      <c r="F48" s="1576"/>
      <c r="G48" s="1574"/>
    </row>
    <row r="49" spans="1:7" x14ac:dyDescent="0.2">
      <c r="A49" s="1574"/>
      <c r="B49" s="1575"/>
      <c r="C49" s="1576"/>
      <c r="D49" s="1576"/>
      <c r="E49" s="1576"/>
      <c r="F49" s="1576"/>
      <c r="G49" s="1574"/>
    </row>
    <row r="50" spans="1:7" x14ac:dyDescent="0.2">
      <c r="A50" s="1574"/>
      <c r="B50" s="1575"/>
      <c r="C50" s="1576"/>
      <c r="D50" s="1576"/>
      <c r="E50" s="1576"/>
      <c r="F50" s="1576"/>
      <c r="G50" s="1574"/>
    </row>
    <row r="51" spans="1:7" x14ac:dyDescent="0.2">
      <c r="A51" s="1576"/>
      <c r="C51" s="1576"/>
      <c r="E51" s="1576"/>
      <c r="F51" s="1576"/>
      <c r="G51" s="1574"/>
    </row>
    <row r="52" spans="1:7" x14ac:dyDescent="0.2">
      <c r="A52" s="1574"/>
      <c r="B52" s="1575"/>
      <c r="C52" s="1576"/>
      <c r="D52" s="1576"/>
      <c r="E52" s="1576"/>
      <c r="F52" s="1576"/>
      <c r="G52" s="1574"/>
    </row>
    <row r="53" spans="1:7" x14ac:dyDescent="0.2">
      <c r="A53" s="1574"/>
      <c r="B53" s="1575"/>
      <c r="C53" s="1576"/>
      <c r="D53" s="1576"/>
      <c r="E53" s="1576"/>
      <c r="F53" s="1576"/>
      <c r="G53" s="1574"/>
    </row>
    <row r="54" spans="1:7" x14ac:dyDescent="0.2">
      <c r="A54" s="1574"/>
      <c r="B54" s="1575"/>
      <c r="C54" s="1576"/>
      <c r="D54" s="1576"/>
      <c r="E54" s="1576"/>
      <c r="F54" s="1576"/>
      <c r="G54" s="1574"/>
    </row>
    <row r="55" spans="1:7" x14ac:dyDescent="0.2">
      <c r="A55" s="1577"/>
      <c r="B55" s="1578"/>
      <c r="C55" s="669"/>
      <c r="D55" s="669"/>
      <c r="E55" s="669"/>
      <c r="F55" s="669"/>
      <c r="G55" s="670"/>
    </row>
    <row r="56" spans="1:7" x14ac:dyDescent="0.2">
      <c r="A56" s="671"/>
      <c r="B56" s="672"/>
      <c r="C56" s="1576"/>
      <c r="D56" s="1576"/>
      <c r="E56" s="1576"/>
      <c r="F56" s="1576"/>
      <c r="G56" s="1574"/>
    </row>
    <row r="57" spans="1:7" x14ac:dyDescent="0.2">
      <c r="A57" s="1574"/>
      <c r="B57" s="1575"/>
      <c r="C57" s="1576"/>
      <c r="D57" s="1576"/>
      <c r="E57" s="1576"/>
      <c r="F57" s="1576"/>
      <c r="G57" s="1574"/>
    </row>
    <row r="58" spans="1:7" x14ac:dyDescent="0.2">
      <c r="A58" s="1579"/>
      <c r="B58" s="1575"/>
      <c r="C58" s="1576"/>
      <c r="D58" s="1576"/>
      <c r="E58" s="1576"/>
      <c r="F58" s="1576"/>
      <c r="G58" s="1574"/>
    </row>
    <row r="59" spans="1:7" x14ac:dyDescent="0.2">
      <c r="A59" s="1574"/>
      <c r="B59" s="1575"/>
      <c r="C59" s="1576"/>
      <c r="D59" s="1576"/>
      <c r="E59" s="1576"/>
      <c r="F59" s="1576"/>
      <c r="G59" s="1574"/>
    </row>
    <row r="60" spans="1:7" x14ac:dyDescent="0.2">
      <c r="A60" s="1574"/>
      <c r="B60" s="1575"/>
      <c r="C60" s="1576"/>
      <c r="D60" s="1576"/>
      <c r="E60" s="1576"/>
      <c r="F60" s="1576"/>
      <c r="G60" s="1574"/>
    </row>
    <row r="61" spans="1:7" x14ac:dyDescent="0.2">
      <c r="A61" s="1577"/>
      <c r="B61" s="1578"/>
      <c r="C61" s="669"/>
      <c r="D61" s="669"/>
      <c r="E61" s="669"/>
      <c r="F61" s="669"/>
      <c r="G61" s="670"/>
    </row>
    <row r="62" spans="1:7" x14ac:dyDescent="0.2">
      <c r="A62" s="673"/>
      <c r="B62" s="674"/>
      <c r="C62" s="1580"/>
      <c r="D62" s="1580"/>
      <c r="E62" s="1580"/>
      <c r="F62" s="1580"/>
      <c r="G62" s="1581"/>
    </row>
    <row r="63" spans="1:7" x14ac:dyDescent="0.2">
      <c r="A63" s="1574"/>
      <c r="B63" s="1575"/>
      <c r="C63" s="1582"/>
      <c r="D63" s="1582"/>
      <c r="E63" s="1582"/>
      <c r="F63" s="1582"/>
      <c r="G63" s="1583"/>
    </row>
    <row r="64" spans="1:7" x14ac:dyDescent="0.2">
      <c r="A64" s="1574"/>
      <c r="B64" s="1575"/>
      <c r="C64" s="1582"/>
      <c r="D64" s="1582"/>
      <c r="E64" s="1582"/>
      <c r="F64" s="1582"/>
      <c r="G64" s="1583"/>
    </row>
    <row r="65" spans="1:7" x14ac:dyDescent="0.2">
      <c r="A65" s="1574"/>
      <c r="B65" s="1575"/>
      <c r="C65" s="1582"/>
      <c r="D65" s="1582"/>
      <c r="E65" s="1582"/>
      <c r="F65" s="1582"/>
      <c r="G65" s="1583"/>
    </row>
    <row r="66" spans="1:7" x14ac:dyDescent="0.2">
      <c r="A66" s="1574"/>
      <c r="B66" s="1575"/>
      <c r="C66" s="1582"/>
      <c r="D66" s="1582"/>
      <c r="E66" s="1582"/>
      <c r="F66" s="1582"/>
      <c r="G66" s="1583"/>
    </row>
    <row r="67" spans="1:7" x14ac:dyDescent="0.2">
      <c r="A67" s="1574"/>
      <c r="B67" s="1575"/>
      <c r="C67" s="1582"/>
      <c r="D67" s="1582"/>
      <c r="E67" s="1582"/>
      <c r="F67" s="1582"/>
      <c r="G67" s="1583"/>
    </row>
    <row r="68" spans="1:7" x14ac:dyDescent="0.2">
      <c r="A68" s="1577"/>
      <c r="B68" s="1578"/>
      <c r="C68" s="669"/>
      <c r="D68" s="669"/>
      <c r="E68" s="669"/>
      <c r="F68" s="669"/>
      <c r="G68" s="670"/>
    </row>
    <row r="69" spans="1:7" x14ac:dyDescent="0.2">
      <c r="A69" s="675"/>
      <c r="B69" s="673"/>
      <c r="C69" s="1581"/>
      <c r="D69" s="1581"/>
      <c r="E69" s="1581"/>
      <c r="F69" s="1581"/>
      <c r="G69" s="1584"/>
    </row>
    <row r="70" spans="1:7" x14ac:dyDescent="0.2">
      <c r="A70" s="664"/>
      <c r="B70" s="1574"/>
      <c r="C70" s="1583"/>
      <c r="D70" s="1583"/>
      <c r="E70" s="1583"/>
      <c r="F70" s="1583"/>
      <c r="G70" s="1585"/>
    </row>
    <row r="71" spans="1:7" x14ac:dyDescent="0.2">
      <c r="A71" s="664"/>
      <c r="B71" s="1574"/>
      <c r="C71" s="1583"/>
      <c r="D71" s="1583"/>
      <c r="E71" s="1583"/>
      <c r="F71" s="1583"/>
      <c r="G71" s="1585"/>
    </row>
    <row r="72" spans="1:7" x14ac:dyDescent="0.2">
      <c r="A72" s="664"/>
      <c r="B72" s="1574"/>
      <c r="C72" s="1574"/>
      <c r="D72" s="1574"/>
      <c r="E72" s="1574"/>
      <c r="F72" s="1574"/>
      <c r="G72" s="1586"/>
    </row>
    <row r="73" spans="1:7" x14ac:dyDescent="0.2">
      <c r="A73" s="664"/>
      <c r="B73" s="1574"/>
      <c r="C73" s="1583"/>
      <c r="D73" s="1583"/>
      <c r="E73" s="1583"/>
      <c r="F73" s="1583"/>
      <c r="G73" s="1585"/>
    </row>
    <row r="74" spans="1:7" x14ac:dyDescent="0.2">
      <c r="A74" s="1576"/>
      <c r="B74" s="1574"/>
      <c r="C74" s="1574"/>
      <c r="D74" s="1574"/>
      <c r="E74" s="1574"/>
      <c r="F74" s="1574"/>
      <c r="G74" s="1586"/>
    </row>
    <row r="75" spans="1:7" x14ac:dyDescent="0.2">
      <c r="A75" s="665"/>
      <c r="B75" s="1577"/>
      <c r="C75" s="1587"/>
      <c r="D75" s="1587"/>
      <c r="E75" s="1587"/>
      <c r="F75" s="1587"/>
      <c r="G75" s="1588"/>
    </row>
    <row r="76" spans="1:7" x14ac:dyDescent="0.2">
      <c r="A76" s="673"/>
      <c r="B76" s="674"/>
      <c r="C76" s="1580"/>
      <c r="D76" s="1580"/>
      <c r="E76" s="1580"/>
      <c r="F76" s="1580"/>
      <c r="G76" s="1581"/>
    </row>
    <row r="77" spans="1:7" x14ac:dyDescent="0.2">
      <c r="A77" s="662"/>
      <c r="B77" s="1575"/>
      <c r="C77" s="1582"/>
      <c r="D77" s="1582"/>
      <c r="E77" s="1582"/>
      <c r="F77" s="1582"/>
      <c r="G77" s="1583"/>
    </row>
    <row r="78" spans="1:7" x14ac:dyDescent="0.2">
      <c r="A78" s="662"/>
      <c r="B78" s="1575"/>
      <c r="C78" s="1582"/>
      <c r="D78" s="1582"/>
      <c r="E78" s="1582"/>
      <c r="F78" s="1582"/>
      <c r="G78" s="1583"/>
    </row>
    <row r="79" spans="1:7" x14ac:dyDescent="0.2">
      <c r="A79" s="662"/>
      <c r="B79" s="1575"/>
      <c r="C79" s="1582"/>
      <c r="D79" s="1582"/>
      <c r="E79" s="1582"/>
      <c r="F79" s="1582"/>
      <c r="G79" s="1583"/>
    </row>
    <row r="80" spans="1:7" x14ac:dyDescent="0.2">
      <c r="A80" s="662"/>
      <c r="B80" s="1575"/>
      <c r="C80" s="1582"/>
      <c r="D80" s="1582"/>
      <c r="E80" s="1582"/>
      <c r="F80" s="1582"/>
      <c r="G80" s="1583"/>
    </row>
    <row r="81" spans="1:7" x14ac:dyDescent="0.2">
      <c r="A81" s="662"/>
      <c r="B81" s="1575"/>
      <c r="C81" s="1582"/>
      <c r="D81" s="1582"/>
      <c r="E81" s="1582"/>
      <c r="F81" s="1582"/>
      <c r="G81" s="1583"/>
    </row>
    <row r="82" spans="1:7" x14ac:dyDescent="0.2">
      <c r="A82" s="663"/>
      <c r="B82" s="1578"/>
      <c r="C82" s="676"/>
      <c r="D82" s="676"/>
      <c r="E82" s="676"/>
      <c r="F82" s="676"/>
      <c r="G82" s="677"/>
    </row>
    <row r="83" spans="1:7" x14ac:dyDescent="0.2">
      <c r="A83" s="673"/>
      <c r="B83" s="674"/>
      <c r="C83" s="1580"/>
      <c r="D83" s="1580"/>
      <c r="E83" s="1580"/>
      <c r="F83" s="1580"/>
      <c r="G83" s="1581"/>
    </row>
    <row r="84" spans="1:7" x14ac:dyDescent="0.2">
      <c r="A84" s="662"/>
      <c r="B84" s="672"/>
      <c r="C84" s="1582"/>
      <c r="D84" s="1582"/>
      <c r="E84" s="1582"/>
      <c r="F84" s="1582"/>
      <c r="G84" s="1583"/>
    </row>
    <row r="85" spans="1:7" x14ac:dyDescent="0.2">
      <c r="A85" s="663"/>
      <c r="B85" s="1578"/>
      <c r="C85" s="1589"/>
      <c r="D85" s="1589"/>
      <c r="E85" s="1589"/>
      <c r="F85" s="1589"/>
      <c r="G85" s="1587"/>
    </row>
    <row r="86" spans="1:7" x14ac:dyDescent="0.2">
      <c r="A86" s="662"/>
      <c r="B86" s="672"/>
      <c r="C86" s="1582"/>
      <c r="D86" s="1582"/>
      <c r="E86" s="1582"/>
      <c r="F86" s="1582"/>
      <c r="G86" s="1583"/>
    </row>
    <row r="87" spans="1:7" x14ac:dyDescent="0.2">
      <c r="A87" s="662"/>
      <c r="B87" s="1575"/>
      <c r="C87" s="1582"/>
      <c r="D87" s="1582"/>
      <c r="E87" s="1582"/>
      <c r="F87" s="1582"/>
      <c r="G87" s="1583"/>
    </row>
    <row r="88" spans="1:7" x14ac:dyDescent="0.2">
      <c r="A88" s="662"/>
      <c r="B88" s="1575"/>
      <c r="C88" s="1582"/>
      <c r="D88" s="1582"/>
      <c r="E88" s="1582"/>
      <c r="F88" s="1582"/>
      <c r="G88" s="1583"/>
    </row>
    <row r="89" spans="1:7" x14ac:dyDescent="0.2">
      <c r="A89" s="1577"/>
      <c r="B89" s="1578"/>
      <c r="C89" s="669"/>
      <c r="D89" s="669"/>
      <c r="E89" s="669"/>
      <c r="F89" s="669"/>
      <c r="G89" s="670"/>
    </row>
    <row r="90" spans="1:7" x14ac:dyDescent="0.2">
      <c r="A90" s="1590"/>
      <c r="B90" s="1590"/>
      <c r="C90" s="1590"/>
      <c r="D90" s="1590"/>
      <c r="E90" s="1590"/>
      <c r="F90" s="1590"/>
      <c r="G90" s="1590"/>
    </row>
    <row r="91" spans="1:7" x14ac:dyDescent="0.2">
      <c r="A91" s="1590"/>
      <c r="B91" s="1590"/>
      <c r="C91" s="1590"/>
      <c r="D91" s="1590"/>
      <c r="E91" s="1590"/>
      <c r="F91" s="1590"/>
      <c r="G91" s="1590"/>
    </row>
    <row r="92" spans="1:7" x14ac:dyDescent="0.2">
      <c r="A92" s="1590"/>
      <c r="B92" s="1590"/>
      <c r="C92" s="1590"/>
      <c r="D92" s="1590"/>
      <c r="E92" s="1590"/>
      <c r="F92" s="1590"/>
      <c r="G92" s="1590"/>
    </row>
    <row r="93" spans="1:7" x14ac:dyDescent="0.2">
      <c r="A93" s="1590"/>
      <c r="B93" s="1590"/>
      <c r="C93" s="1590"/>
      <c r="D93" s="1590"/>
      <c r="E93" s="1590"/>
      <c r="F93" s="1590"/>
      <c r="G93" s="1590"/>
    </row>
    <row r="94" spans="1:7" x14ac:dyDescent="0.2">
      <c r="A94" s="1590"/>
      <c r="B94" s="1591"/>
      <c r="C94" s="1590"/>
      <c r="D94" s="1590"/>
      <c r="E94" s="1590"/>
      <c r="F94" s="1590"/>
      <c r="G94" s="1590"/>
    </row>
  </sheetData>
  <mergeCells count="4">
    <mergeCell ref="A4:A6"/>
    <mergeCell ref="B4:B6"/>
    <mergeCell ref="C4:G5"/>
    <mergeCell ref="A1:F1"/>
  </mergeCells>
  <printOptions horizontalCentered="1"/>
  <pageMargins left="0.7" right="0.7" top="0.75" bottom="0.75" header="0.3" footer="0.3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showGridLines="0" zoomScaleNormal="100" workbookViewId="0">
      <pane xSplit="2" ySplit="6" topLeftCell="K29" activePane="bottomRight" state="frozen"/>
      <selection pane="topRight" activeCell="C1" sqref="C1"/>
      <selection pane="bottomLeft" activeCell="A7" sqref="A7"/>
      <selection pane="bottomRight" activeCell="V38" sqref="V38"/>
    </sheetView>
  </sheetViews>
  <sheetFormatPr defaultRowHeight="12.75" x14ac:dyDescent="0.2"/>
  <cols>
    <col min="1" max="1" width="10.7109375" style="451" customWidth="1"/>
    <col min="2" max="2" width="46.85546875" style="451" customWidth="1"/>
    <col min="3" max="3" width="14.42578125" style="451" hidden="1" customWidth="1"/>
    <col min="4" max="4" width="10.5703125" style="451" hidden="1" customWidth="1"/>
    <col min="5" max="5" width="10.28515625" style="451" hidden="1" customWidth="1"/>
    <col min="6" max="6" width="9.42578125" style="451" hidden="1" customWidth="1"/>
    <col min="7" max="7" width="10" style="451" hidden="1" customWidth="1"/>
    <col min="8" max="8" width="13.42578125" style="452" hidden="1" customWidth="1"/>
    <col min="9" max="9" width="11.7109375" style="451" hidden="1" customWidth="1"/>
    <col min="10" max="11" width="10.28515625" style="451" hidden="1" customWidth="1"/>
    <col min="12" max="12" width="11.5703125" style="451" hidden="1" customWidth="1"/>
    <col min="13" max="13" width="11.5703125" style="451" customWidth="1"/>
    <col min="14" max="14" width="12.28515625" style="451" customWidth="1"/>
    <col min="15" max="15" width="12.7109375" style="451" customWidth="1"/>
    <col min="16" max="16384" width="9.140625" style="451"/>
  </cols>
  <sheetData>
    <row r="1" spans="1:15" x14ac:dyDescent="0.2">
      <c r="A1" s="450" t="s">
        <v>499</v>
      </c>
    </row>
    <row r="2" spans="1:15" x14ac:dyDescent="0.2">
      <c r="A2" s="1788" t="s">
        <v>209</v>
      </c>
      <c r="B2" s="1788"/>
      <c r="C2" s="1327"/>
      <c r="D2" s="1327"/>
      <c r="E2" s="1327"/>
      <c r="F2" s="1327"/>
      <c r="G2" s="1724" t="s">
        <v>224</v>
      </c>
      <c r="H2" s="1725"/>
      <c r="I2" s="1327"/>
      <c r="J2" s="1327"/>
      <c r="K2" s="1327"/>
      <c r="L2" s="1327"/>
      <c r="M2" s="1327"/>
      <c r="N2" s="1327"/>
      <c r="O2" s="1327"/>
    </row>
    <row r="3" spans="1:15" ht="13.5" thickBot="1" x14ac:dyDescent="0.25">
      <c r="A3" s="1724"/>
      <c r="B3" s="1724"/>
      <c r="C3" s="1327"/>
      <c r="D3" s="1327"/>
      <c r="E3" s="1327"/>
      <c r="F3" s="1327"/>
      <c r="G3" s="1327"/>
      <c r="H3" s="1725"/>
      <c r="I3" s="1327"/>
      <c r="J3" s="1327"/>
      <c r="K3" s="1327"/>
      <c r="L3" s="1327"/>
      <c r="M3" s="1327"/>
      <c r="N3" s="1327"/>
      <c r="O3" s="1327"/>
    </row>
    <row r="4" spans="1:15" ht="18" customHeight="1" thickBot="1" x14ac:dyDescent="0.25">
      <c r="A4" s="1724"/>
      <c r="B4" s="1726" t="s">
        <v>109</v>
      </c>
      <c r="C4" s="1327"/>
      <c r="D4" s="1327"/>
      <c r="E4" s="1327"/>
      <c r="F4" s="1327"/>
      <c r="G4" s="1327"/>
      <c r="H4" s="1725"/>
      <c r="I4" s="1327"/>
      <c r="J4" s="1327"/>
      <c r="K4" s="1327"/>
      <c r="L4" s="1327"/>
      <c r="M4" s="1327"/>
      <c r="N4" s="1327"/>
      <c r="O4" s="1327"/>
    </row>
    <row r="5" spans="1:15" x14ac:dyDescent="0.2">
      <c r="A5" s="1724"/>
      <c r="B5" s="1724"/>
      <c r="C5" s="1327"/>
      <c r="D5" s="1327"/>
      <c r="E5" s="1327"/>
      <c r="F5" s="1327"/>
      <c r="G5" s="1327"/>
      <c r="H5" s="1725"/>
      <c r="I5" s="1327"/>
      <c r="J5" s="1327"/>
      <c r="K5" s="1327"/>
      <c r="L5" s="1327"/>
      <c r="M5" s="1327"/>
      <c r="N5" s="1327"/>
      <c r="O5" s="1327"/>
    </row>
    <row r="6" spans="1:15" ht="37.5" customHeight="1" x14ac:dyDescent="0.2">
      <c r="A6" s="1727" t="s">
        <v>117</v>
      </c>
      <c r="B6" s="1727" t="s">
        <v>118</v>
      </c>
      <c r="C6" s="1728" t="s">
        <v>546</v>
      </c>
      <c r="D6" s="1728" t="s">
        <v>266</v>
      </c>
      <c r="E6" s="1728" t="s">
        <v>267</v>
      </c>
      <c r="F6" s="1729" t="s">
        <v>268</v>
      </c>
      <c r="G6" s="1730" t="s">
        <v>629</v>
      </c>
      <c r="H6" s="1730" t="s">
        <v>630</v>
      </c>
      <c r="I6" s="1730" t="s">
        <v>631</v>
      </c>
      <c r="J6" s="1731" t="s">
        <v>763</v>
      </c>
      <c r="K6" s="1731" t="s">
        <v>764</v>
      </c>
      <c r="L6" s="1731" t="s">
        <v>765</v>
      </c>
      <c r="M6" s="1732" t="s">
        <v>873</v>
      </c>
      <c r="N6" s="1732" t="s">
        <v>874</v>
      </c>
      <c r="O6" s="1732" t="s">
        <v>1178</v>
      </c>
    </row>
    <row r="7" spans="1:15" x14ac:dyDescent="0.2">
      <c r="A7" s="1733"/>
      <c r="B7" s="1325"/>
      <c r="C7" s="1734"/>
      <c r="D7" s="1734"/>
      <c r="E7" s="1734"/>
      <c r="F7" s="1735"/>
      <c r="G7" s="1734"/>
      <c r="H7" s="1734"/>
      <c r="I7" s="1734"/>
      <c r="J7" s="1734"/>
      <c r="K7" s="1734"/>
      <c r="L7" s="1734"/>
      <c r="M7" s="1736"/>
      <c r="N7" s="1737"/>
      <c r="O7" s="1325"/>
    </row>
    <row r="8" spans="1:15" ht="12.75" customHeight="1" x14ac:dyDescent="0.2">
      <c r="A8" s="1733"/>
      <c r="B8" s="1730" t="s">
        <v>301</v>
      </c>
      <c r="C8" s="1325"/>
      <c r="D8" s="1325"/>
      <c r="E8" s="1325"/>
      <c r="F8" s="1738"/>
      <c r="G8" s="1325"/>
      <c r="H8" s="1325"/>
      <c r="I8" s="1325"/>
      <c r="J8" s="1325"/>
      <c r="K8" s="1325"/>
      <c r="L8" s="1325"/>
      <c r="M8" s="1325"/>
      <c r="N8" s="1738"/>
      <c r="O8" s="1325"/>
    </row>
    <row r="9" spans="1:15" x14ac:dyDescent="0.2">
      <c r="A9" s="1733"/>
      <c r="B9" s="1730"/>
      <c r="C9" s="1739"/>
      <c r="D9" s="1325"/>
      <c r="E9" s="1325"/>
      <c r="F9" s="1738"/>
      <c r="G9" s="1325"/>
      <c r="H9" s="1325"/>
      <c r="I9" s="1325"/>
      <c r="J9" s="1325"/>
      <c r="K9" s="1325"/>
      <c r="L9" s="1325"/>
      <c r="M9" s="1325"/>
      <c r="N9" s="1738"/>
      <c r="O9" s="1325"/>
    </row>
    <row r="10" spans="1:15" x14ac:dyDescent="0.2">
      <c r="A10" s="1325"/>
      <c r="B10" s="1740" t="s">
        <v>302</v>
      </c>
      <c r="C10" s="1325"/>
      <c r="D10" s="1325"/>
      <c r="E10" s="1325"/>
      <c r="F10" s="1738"/>
      <c r="G10" s="1325"/>
      <c r="H10" s="1325"/>
      <c r="I10" s="1325"/>
      <c r="J10" s="1325"/>
      <c r="K10" s="1325"/>
      <c r="L10" s="1325"/>
      <c r="M10" s="1325"/>
      <c r="N10" s="1738"/>
      <c r="O10" s="1325"/>
    </row>
    <row r="11" spans="1:15" x14ac:dyDescent="0.2">
      <c r="A11" s="1325"/>
      <c r="B11" s="1325" t="s">
        <v>303</v>
      </c>
      <c r="C11" s="952">
        <v>416</v>
      </c>
      <c r="D11" s="952">
        <v>503.28</v>
      </c>
      <c r="E11" s="952">
        <f>546.91</f>
        <v>546.91</v>
      </c>
      <c r="F11" s="1326">
        <f>546.91+97.5</f>
        <v>644.41</v>
      </c>
      <c r="G11" s="952">
        <f>'[5]A-4'!J7</f>
        <v>546.91</v>
      </c>
      <c r="H11" s="952">
        <f>'[5]A-4'!K7+151.08</f>
        <v>697.99</v>
      </c>
      <c r="I11" s="952">
        <f>+'A-4'!L7+'A-4'!L8</f>
        <v>795.02</v>
      </c>
      <c r="J11" s="952">
        <f>+'A-4'!M7+'A-4'!M8</f>
        <v>1011.4951000000001</v>
      </c>
      <c r="K11" s="952">
        <f>'A-4'!N7+'A-4'!N8</f>
        <v>1203.3351</v>
      </c>
      <c r="L11" s="952">
        <f>'A-4'!O7+'A-4'!O8</f>
        <v>1343.3351</v>
      </c>
      <c r="M11" s="952">
        <f>'A-4'!P7+'A-4'!P8</f>
        <v>1359.4496041666669</v>
      </c>
      <c r="N11" s="1326">
        <f>'A-4'!Q7+'A-4'!Q8</f>
        <v>1818.5351000000001</v>
      </c>
      <c r="O11" s="952">
        <f>'A-4'!R7+'A-4'!R8</f>
        <v>2020.2950999999998</v>
      </c>
    </row>
    <row r="12" spans="1:15" x14ac:dyDescent="0.2">
      <c r="A12" s="1325"/>
      <c r="B12" s="1325" t="s">
        <v>304</v>
      </c>
      <c r="C12" s="952">
        <v>985.88</v>
      </c>
      <c r="D12" s="952" t="e">
        <f>C12+'[5]A-1'!C49+49</f>
        <v>#REF!</v>
      </c>
      <c r="E12" s="952">
        <v>1268.8499999999999</v>
      </c>
      <c r="F12" s="1326">
        <f>1275.58-656.31+97.5</f>
        <v>716.77</v>
      </c>
      <c r="G12" s="952">
        <f>15.18+113.44-589.2</f>
        <v>-460.58000000000004</v>
      </c>
      <c r="H12" s="952">
        <f>'[5]A-4'!K9+113.37</f>
        <v>-362.39000000000004</v>
      </c>
      <c r="I12" s="952">
        <f>+'A-4'!L9</f>
        <v>-344.14</v>
      </c>
      <c r="J12" s="952">
        <f>+'A-4'!M9</f>
        <v>-235.75</v>
      </c>
      <c r="K12" s="952">
        <f>'A-4'!N9</f>
        <v>-345.37</v>
      </c>
      <c r="L12" s="952">
        <f>'A-4'!O9</f>
        <v>-286.17600000000004</v>
      </c>
      <c r="M12" s="952">
        <f>'A-4'!P9</f>
        <v>-202.47630190300006</v>
      </c>
      <c r="N12" s="1326">
        <f>'A-4'!Q9</f>
        <v>-55.966411407975386</v>
      </c>
      <c r="O12" s="952">
        <f>'A-4'!R9</f>
        <v>28.80358859202461</v>
      </c>
    </row>
    <row r="13" spans="1:15" x14ac:dyDescent="0.2">
      <c r="A13" s="1325"/>
      <c r="B13" s="1741" t="s">
        <v>119</v>
      </c>
      <c r="C13" s="1742">
        <f t="shared" ref="C13:N13" si="0">SUM(C11:C12)</f>
        <v>1401.88</v>
      </c>
      <c r="D13" s="1742" t="e">
        <f t="shared" si="0"/>
        <v>#REF!</v>
      </c>
      <c r="E13" s="1742">
        <f t="shared" si="0"/>
        <v>1815.7599999999998</v>
      </c>
      <c r="F13" s="1743">
        <f t="shared" si="0"/>
        <v>1361.1799999999998</v>
      </c>
      <c r="G13" s="1742">
        <f t="shared" si="0"/>
        <v>86.329999999999927</v>
      </c>
      <c r="H13" s="1742">
        <f t="shared" si="0"/>
        <v>335.59999999999997</v>
      </c>
      <c r="I13" s="1742">
        <f t="shared" si="0"/>
        <v>450.88</v>
      </c>
      <c r="J13" s="1742">
        <f t="shared" si="0"/>
        <v>775.74510000000009</v>
      </c>
      <c r="K13" s="1742">
        <f t="shared" si="0"/>
        <v>857.96510000000001</v>
      </c>
      <c r="L13" s="1742">
        <f t="shared" si="0"/>
        <v>1057.1590999999999</v>
      </c>
      <c r="M13" s="1742">
        <f t="shared" si="0"/>
        <v>1156.9733022636667</v>
      </c>
      <c r="N13" s="1743">
        <f t="shared" si="0"/>
        <v>1762.5686885920247</v>
      </c>
      <c r="O13" s="1742">
        <f>SUM(O11:O12)</f>
        <v>2049.0986885920242</v>
      </c>
    </row>
    <row r="14" spans="1:15" x14ac:dyDescent="0.2">
      <c r="A14" s="1325" t="s">
        <v>323</v>
      </c>
      <c r="B14" s="1740" t="s">
        <v>420</v>
      </c>
      <c r="C14" s="1325"/>
      <c r="D14" s="1325"/>
      <c r="E14" s="1325"/>
      <c r="F14" s="1738"/>
      <c r="G14" s="1325"/>
      <c r="H14" s="1325"/>
      <c r="I14" s="1325"/>
      <c r="J14" s="1325"/>
      <c r="K14" s="1325"/>
      <c r="L14" s="1325"/>
      <c r="M14" s="1327"/>
      <c r="N14" s="1327"/>
      <c r="O14" s="1325"/>
    </row>
    <row r="15" spans="1:15" x14ac:dyDescent="0.2">
      <c r="A15" s="1325"/>
      <c r="B15" s="1325" t="s">
        <v>421</v>
      </c>
      <c r="C15" s="1326" t="e">
        <f>'[5]D-9'!#REF!+'[5]D-9'!#REF!+'[5]D-9'!#REF!+'[5]D-9'!#REF!+'[5]D-9'!#REF!</f>
        <v>#REF!</v>
      </c>
      <c r="D15" s="952">
        <v>159.63</v>
      </c>
      <c r="E15" s="952" t="e">
        <f>'[5]D-9'!#REF!+'[5]D-9'!#REF!+'[5]D-9'!#REF!+'[5]D-9'!#REF!+'[5]D-9'!#REF!</f>
        <v>#REF!</v>
      </c>
      <c r="F15" s="1326">
        <f>SUM('[5]D-9'!D22:D24)+SUM('[5]D-9'!D27:D28)</f>
        <v>52.709999999999994</v>
      </c>
      <c r="G15" s="952">
        <f>SUM('[5]D-9'!J22:J24)+SUM('[5]D-9'!J27:J28)</f>
        <v>46.229999999999983</v>
      </c>
      <c r="H15" s="952">
        <v>40.07</v>
      </c>
      <c r="I15" s="952">
        <f>+'D-9'!P29+'D-9'!P30+'D-9'!P31+'D-9'!P32</f>
        <v>35.64</v>
      </c>
      <c r="J15" s="952">
        <f>+'D-9'!V29+'D-9'!V30+'D-9'!V31+'D-9'!V32</f>
        <v>29.110000000000007</v>
      </c>
      <c r="K15" s="952"/>
      <c r="L15" s="952"/>
      <c r="M15" s="952"/>
      <c r="N15" s="1326"/>
      <c r="O15" s="1325"/>
    </row>
    <row r="16" spans="1:15" x14ac:dyDescent="0.2">
      <c r="A16" s="1325"/>
      <c r="B16" s="1325" t="s">
        <v>422</v>
      </c>
      <c r="C16" s="1326" t="e">
        <f>SUM('[5]D-9'!#REF!)-11.56</f>
        <v>#REF!</v>
      </c>
      <c r="D16" s="952" t="e">
        <f>SUM('[5]D-9'!#REF!)</f>
        <v>#REF!</v>
      </c>
      <c r="E16" s="952" t="e">
        <f>SUM('[5]D-9'!#REF!)</f>
        <v>#REF!</v>
      </c>
      <c r="F16" s="1326">
        <f>SUM('[5]D-9'!D10:D20)</f>
        <v>602.79</v>
      </c>
      <c r="G16" s="952">
        <f>SUM('[5]D-9'!J10:J20)</f>
        <v>1531.52</v>
      </c>
      <c r="H16" s="952">
        <v>2469.35</v>
      </c>
      <c r="I16" s="952">
        <f>SUM('D-9'!P10:P25)</f>
        <v>1015.4000000000001</v>
      </c>
      <c r="J16" s="952">
        <f>SUM('D-9'!V10:V25)</f>
        <v>1853.6899999999998</v>
      </c>
      <c r="K16" s="1328">
        <f>'D-9'!AB10+'D-9'!AB11+'D-9'!AB12+'D-9'!AB13+'D-9'!AB14+'D-9'!AB15+'D-9'!AB16+'D-9'!AB17+'D-9'!AB18+'D-9'!AB19+'D-9'!AB20+'D-9'!AB21+'D-9'!AB22+'D-9'!AB23+'D-9'!AB24+'D-9'!AB25+'D-9'!AB26+'D-9'!AB27+'D-9'!AB28+'D-9'!AB29+'D-9'!AB30+'D-9'!AB31+'D-9'!AB34+'D-9'!AB35+'D-9'!AB36+'D-9'!AB37+'D-9'!AB38+'D-9'!AB39+'D-9'!AB40+'D-9'!AB41+'D-9'!AB42</f>
        <v>3560.58</v>
      </c>
      <c r="L16" s="952">
        <f>'D-9'!AH10+'D-9'!AH11+'D-9'!AH12+'D-9'!AH13+'D-9'!AH14+'D-9'!AH15+'D-9'!AH16+'D-9'!AH17+'D-9'!AH18+'D-9'!AH19+'D-9'!AH20+'D-9'!AH21+'D-9'!AH22+'D-9'!AH23+'D-9'!AH24+'D-9'!AH25+'D-9'!AH26+'D-9'!AH27+'D-9'!AH28+'D-9'!AH29+'D-9'!AH30+'D-9'!AH31+'D-9'!AH34+'D-9'!AH35+'D-9'!AH36+'D-9'!AH37+'D-9'!AH38+'D-9'!AH39+'D-9'!AH40+'D-9'!AH41+'D-9'!AH42</f>
        <v>3947.9936323999996</v>
      </c>
      <c r="M16" s="952">
        <f>'D-9'!AN10+'D-9'!AN11+'D-9'!AN12+'D-9'!AN13+'D-9'!AN14+'D-9'!AN15+'D-9'!AN16+'D-9'!AN17+'D-9'!AN18+'D-9'!AN19+'D-9'!AN20+'D-9'!AN21+'D-9'!AN22+'D-9'!AN23+'D-9'!AN24+'D-9'!AN25+'D-9'!AN26+'D-9'!AN27+'D-9'!AN28+'D-9'!AN34+'D-9'!AN35+'D-9'!AN36+'D-9'!AN37+'D-9'!AN38+'D-9'!AN39+'D-9'!AN40+'D-9'!AN41+'D-9'!AN42+'D-9'!AN43+'D-9'!AN44+'D-9'!AN45+'D-9'!AN46+'D-9'!AN47+'D-9'!AN48+'D-9'!AN49+'D-9'!AN50+'D-9'!AN51+'D-9'!AN52+'D-9'!AN53+'D-9'!AN54+'D-9'!AN56+'D-9'!AN57+'D-9'!AN58</f>
        <v>4753.9976323999999</v>
      </c>
      <c r="N16" s="1326">
        <f>'D-9'!AT10+'D-9'!AT11+'D-9'!AT12+'D-9'!AT13+'D-9'!AT14+'D-9'!AT15+'D-9'!AT16+'D-9'!AT17+'D-9'!AT18+'D-9'!AT19+'D-9'!AT20+'D-9'!AT21+'D-9'!AT22+'D-9'!AT23+'D-9'!AT24+'D-9'!AT25+'D-9'!AT26+'D-9'!AT27+'D-9'!AT28+'D-9'!AT34+'D-9'!AT35+'D-9'!AT36+'D-9'!AT37+'D-9'!AT38+'D-9'!AT39+'D-9'!AT40+'D-9'!AT41+'D-9'!AT42</f>
        <v>4719.5576323999994</v>
      </c>
      <c r="O16" s="952">
        <f>'D-9'!AZ10+'D-9'!AZ11+'D-9'!AZ12+'D-9'!AZ13+'D-9'!AZ14+'D-9'!AZ15+'D-9'!AZ16+'D-9'!AZ17+'D-9'!AZ18+'D-9'!AZ19+'D-9'!AZ20+'D-9'!AZ21+'D-9'!AZ22+'D-9'!AZ23+'D-9'!AZ24+'D-9'!AZ25+'D-9'!AZ26+'D-9'!AZ27+'D-9'!AZ28+'D-9'!AZ34+'D-9'!AZ35+'D-9'!AZ36+'D-9'!AZ37+'D-9'!AZ38+'D-9'!AZ39+'D-9'!AZ40+'D-9'!AZ41+'D-9'!AZ42</f>
        <v>4134.9276324000002</v>
      </c>
    </row>
    <row r="17" spans="1:16" s="1327" customFormat="1" x14ac:dyDescent="0.2">
      <c r="A17" s="1325"/>
      <c r="B17" s="1325" t="s">
        <v>423</v>
      </c>
      <c r="C17" s="1326" t="e">
        <f>SUM('[5]D-9'!#REF!:'[5]D-9'!#REF!)-C15</f>
        <v>#REF!</v>
      </c>
      <c r="D17" s="952" t="e">
        <f>SUM('[5]D-9'!#REF!:'[5]D-9'!#REF!)-159.63</f>
        <v>#REF!</v>
      </c>
      <c r="E17" s="952" t="e">
        <f>SUM('[5]D-9'!#REF!:'[5]D-9'!#REF!)-E15-E18</f>
        <v>#REF!</v>
      </c>
      <c r="F17" s="1326">
        <f>SUM('[5]D-9'!D25+'[5]D-9'!D32+'[5]D-9'!D29+'[5]D-9'!D33)</f>
        <v>1919.36</v>
      </c>
      <c r="G17" s="952">
        <f>'[5]D-9'!J25+'[5]D-9'!J26+'[5]D-9'!J29</f>
        <v>792.88</v>
      </c>
      <c r="H17" s="952"/>
      <c r="I17" s="952">
        <f>SUM('D-9'!P33:P39)</f>
        <v>2091.08</v>
      </c>
      <c r="J17" s="952">
        <f>SUM('D-9'!V33:V39)</f>
        <v>1891.9699999999998</v>
      </c>
      <c r="K17" s="1328">
        <f>'D-9'!AB29+'D-9'!AB30+'D-9'!AB31+'D-9'!AB32+'D-9'!AB33</f>
        <v>430.33</v>
      </c>
      <c r="L17" s="952">
        <v>408.19</v>
      </c>
      <c r="M17" s="952">
        <f>'D-9'!AN29+'D-9'!AN30+'D-9'!AN31+'D-9'!AN32+'D-9'!AN33+'D-9'!AN55</f>
        <v>739.62</v>
      </c>
      <c r="N17" s="1326">
        <f>'D-9'!AT29+'D-9'!AT30+'D-9'!AT31+'D-9'!AT32+'D-9'!AT33+'D-9'!AT55</f>
        <v>510.24</v>
      </c>
      <c r="O17" s="952">
        <f>'D-9'!AZ29+'D-9'!AZ30+'D-9'!AZ31+'D-9'!AZ32+'D-9'!AZ33+'D-9'!AZ55</f>
        <v>500.94</v>
      </c>
    </row>
    <row r="18" spans="1:16" x14ac:dyDescent="0.2">
      <c r="A18" s="1325"/>
      <c r="B18" s="1325" t="s">
        <v>566</v>
      </c>
      <c r="C18" s="952"/>
      <c r="D18" s="952"/>
      <c r="E18" s="952" t="e">
        <f>'[5]D-9'!#REF!</f>
        <v>#REF!</v>
      </c>
      <c r="F18" s="1326">
        <f>'[5]D-9'!D30</f>
        <v>750</v>
      </c>
      <c r="G18" s="952">
        <f>'[5]D-9'!J30</f>
        <v>0</v>
      </c>
      <c r="H18" s="952"/>
      <c r="I18" s="952"/>
      <c r="J18" s="952"/>
      <c r="K18" s="952"/>
      <c r="L18" s="952"/>
      <c r="M18" s="952">
        <f>'D-9'!AN43+'D-9'!AN44+'D-9'!AN45+'D-9'!AN46+'D-9'!AN47+'D-9'!AN48</f>
        <v>0</v>
      </c>
      <c r="N18" s="1326">
        <f>'D-9'!AT45+'D-9'!AT46+'D-9'!AT47+'D-9'!AT48+'D-9'!AT49+'D-9'!AT51+'D-9'!AT50+'D-9'!AT52+'D-9'!AT53+'D-9'!AT54+'D-9'!AT56+'D-9'!AT57+'D-9'!AT58</f>
        <v>2956.08</v>
      </c>
      <c r="O18" s="952">
        <f>'D-9'!AZ45+'D-9'!AZ46+'D-9'!AZ47+'D-9'!AZ48+'D-9'!AZ49+'D-9'!AZ51+'D-9'!AZ50+'D-9'!AZ52+'D-9'!AZ53+'D-9'!AZ54+'D-9'!AZ56+'D-9'!AZ57+'D-9'!AZ58</f>
        <v>5061.88</v>
      </c>
    </row>
    <row r="19" spans="1:16" x14ac:dyDescent="0.2">
      <c r="A19" s="1325"/>
      <c r="B19" s="1741" t="s">
        <v>424</v>
      </c>
      <c r="C19" s="1742" t="e">
        <f t="shared" ref="C19:N19" si="1">SUM(C15:C18)</f>
        <v>#REF!</v>
      </c>
      <c r="D19" s="1742" t="e">
        <f t="shared" si="1"/>
        <v>#REF!</v>
      </c>
      <c r="E19" s="1742" t="e">
        <f t="shared" si="1"/>
        <v>#REF!</v>
      </c>
      <c r="F19" s="1743">
        <f t="shared" si="1"/>
        <v>3324.8599999999997</v>
      </c>
      <c r="G19" s="1742">
        <f t="shared" si="1"/>
        <v>2370.63</v>
      </c>
      <c r="H19" s="1742">
        <f t="shared" si="1"/>
        <v>2509.42</v>
      </c>
      <c r="I19" s="1742">
        <f t="shared" si="1"/>
        <v>3142.12</v>
      </c>
      <c r="J19" s="1742">
        <f>SUM(J15:J18)</f>
        <v>3774.7699999999995</v>
      </c>
      <c r="K19" s="1742">
        <f t="shared" si="1"/>
        <v>3990.91</v>
      </c>
      <c r="L19" s="1742">
        <f t="shared" si="1"/>
        <v>4356.1836323999996</v>
      </c>
      <c r="M19" s="1742">
        <f t="shared" si="1"/>
        <v>5493.6176323999998</v>
      </c>
      <c r="N19" s="1743">
        <f t="shared" si="1"/>
        <v>8185.8776323999991</v>
      </c>
      <c r="O19" s="1742">
        <f>SUM(O15:O18)</f>
        <v>9697.7476323999999</v>
      </c>
    </row>
    <row r="20" spans="1:16" ht="25.5" x14ac:dyDescent="0.2">
      <c r="A20" s="1325" t="s">
        <v>425</v>
      </c>
      <c r="B20" s="1744" t="s">
        <v>426</v>
      </c>
      <c r="C20" s="952">
        <f>D20-100+48.21-7.4</f>
        <v>70.009999999999934</v>
      </c>
      <c r="D20" s="952">
        <f>1045.35-916.15</f>
        <v>129.19999999999993</v>
      </c>
      <c r="E20" s="952">
        <f>1268.85-1165.67</f>
        <v>103.17999999999984</v>
      </c>
      <c r="F20" s="1326">
        <v>707.77</v>
      </c>
      <c r="G20" s="952">
        <f>1426.28+133-141.05</f>
        <v>1418.23</v>
      </c>
      <c r="H20" s="952">
        <v>1711.9</v>
      </c>
      <c r="I20" s="952">
        <f>+'D-14'!E16</f>
        <v>2059.7542616000001</v>
      </c>
      <c r="J20" s="952">
        <f>+'D-14'!G16</f>
        <v>2416.86</v>
      </c>
      <c r="K20" s="952">
        <f>+'[6]D-14'!I16</f>
        <v>2840.86</v>
      </c>
      <c r="L20" s="952">
        <f>'D-14'!K16</f>
        <v>3450.03</v>
      </c>
      <c r="M20" s="952">
        <f>'D-14'!M16</f>
        <v>3844.9492512219999</v>
      </c>
      <c r="N20" s="1326">
        <f>'D-14'!O16</f>
        <v>4259.8690634339991</v>
      </c>
      <c r="O20" s="952">
        <f>'D-14'!Q16</f>
        <v>4694.7835951509987</v>
      </c>
    </row>
    <row r="21" spans="1:16" x14ac:dyDescent="0.2">
      <c r="A21" s="1325"/>
      <c r="B21" s="1730" t="s">
        <v>353</v>
      </c>
      <c r="C21" s="1745" t="e">
        <f t="shared" ref="C21:O21" si="2">C13+C19+C20</f>
        <v>#REF!</v>
      </c>
      <c r="D21" s="1745" t="e">
        <f t="shared" si="2"/>
        <v>#REF!</v>
      </c>
      <c r="E21" s="1745" t="e">
        <f t="shared" si="2"/>
        <v>#REF!</v>
      </c>
      <c r="F21" s="1746">
        <f t="shared" si="2"/>
        <v>5393.8099999999995</v>
      </c>
      <c r="G21" s="1745">
        <f t="shared" si="2"/>
        <v>3875.19</v>
      </c>
      <c r="H21" s="1745">
        <f t="shared" si="2"/>
        <v>4556.92</v>
      </c>
      <c r="I21" s="1745">
        <f t="shared" si="2"/>
        <v>5652.7542616000001</v>
      </c>
      <c r="J21" s="1745">
        <f t="shared" si="2"/>
        <v>6967.3750999999993</v>
      </c>
      <c r="K21" s="1745">
        <f t="shared" si="2"/>
        <v>7689.7350999999999</v>
      </c>
      <c r="L21" s="1745">
        <f t="shared" si="2"/>
        <v>8863.3727323999992</v>
      </c>
      <c r="M21" s="1745">
        <f t="shared" si="2"/>
        <v>10495.540185885666</v>
      </c>
      <c r="N21" s="1746">
        <f t="shared" si="2"/>
        <v>14208.315384426023</v>
      </c>
      <c r="O21" s="1745">
        <f t="shared" si="2"/>
        <v>16441.629916143022</v>
      </c>
    </row>
    <row r="22" spans="1:16" x14ac:dyDescent="0.2">
      <c r="A22" s="1325"/>
      <c r="B22" s="1730"/>
      <c r="C22" s="1325"/>
      <c r="D22" s="952"/>
      <c r="E22" s="952"/>
      <c r="F22" s="1738"/>
      <c r="G22" s="1325"/>
      <c r="H22" s="1325"/>
      <c r="I22" s="1325"/>
      <c r="J22" s="1325"/>
      <c r="K22" s="1325"/>
      <c r="L22" s="1325"/>
      <c r="M22" s="1325"/>
      <c r="N22" s="1325"/>
      <c r="O22" s="1325"/>
    </row>
    <row r="23" spans="1:16" x14ac:dyDescent="0.2">
      <c r="A23" s="1325"/>
      <c r="B23" s="1741" t="s">
        <v>354</v>
      </c>
      <c r="C23" s="1325"/>
      <c r="D23" s="1325"/>
      <c r="E23" s="1325"/>
      <c r="F23" s="1738"/>
      <c r="G23" s="1325"/>
      <c r="H23" s="1325"/>
      <c r="I23" s="1325"/>
      <c r="J23" s="1325"/>
      <c r="K23" s="1325"/>
      <c r="L23" s="1325"/>
      <c r="M23" s="1325"/>
      <c r="N23" s="1325"/>
      <c r="O23" s="1325"/>
    </row>
    <row r="24" spans="1:16" x14ac:dyDescent="0.2">
      <c r="A24" s="1325"/>
      <c r="B24" s="1741"/>
      <c r="C24" s="1325"/>
      <c r="D24" s="952"/>
      <c r="E24" s="952"/>
      <c r="F24" s="1738"/>
      <c r="G24" s="1325"/>
      <c r="H24" s="1325"/>
      <c r="I24" s="1325"/>
      <c r="J24" s="1325"/>
      <c r="K24" s="1325"/>
      <c r="L24" s="1325"/>
      <c r="M24" s="1325"/>
      <c r="N24" s="1325"/>
      <c r="O24" s="1325"/>
    </row>
    <row r="25" spans="1:16" x14ac:dyDescent="0.2">
      <c r="A25" s="1325"/>
      <c r="B25" s="1740" t="s">
        <v>355</v>
      </c>
      <c r="C25" s="1325"/>
      <c r="D25" s="952"/>
      <c r="E25" s="952"/>
      <c r="F25" s="1738"/>
      <c r="G25" s="1325"/>
      <c r="H25" s="1325"/>
      <c r="I25" s="1325"/>
      <c r="J25" s="1325"/>
      <c r="K25" s="1325"/>
      <c r="L25" s="1325"/>
      <c r="M25" s="1325"/>
      <c r="N25" s="1325"/>
      <c r="O25" s="1325"/>
    </row>
    <row r="26" spans="1:16" x14ac:dyDescent="0.2">
      <c r="A26" s="1325" t="s">
        <v>356</v>
      </c>
      <c r="B26" s="1325" t="s">
        <v>226</v>
      </c>
      <c r="C26" s="1747" t="e">
        <f>'[5]D-15'!#REF!</f>
        <v>#REF!</v>
      </c>
      <c r="D26" s="1747" t="e">
        <f>'[5]D-15'!#REF!-38</f>
        <v>#REF!</v>
      </c>
      <c r="E26" s="1747" t="e">
        <f>'[5]D-15'!#REF!</f>
        <v>#REF!</v>
      </c>
      <c r="F26" s="1748">
        <f>'[5]D-15'!C29</f>
        <v>4895.2153338271082</v>
      </c>
      <c r="G26" s="1747">
        <f>'[5]D-15'!F29</f>
        <v>5605.2489338271089</v>
      </c>
      <c r="H26" s="1747">
        <f>'[5]D-15'!I29</f>
        <v>7074.3599338271106</v>
      </c>
      <c r="I26" s="1747">
        <f>+'D-15'!F25</f>
        <v>8900.4732168271112</v>
      </c>
      <c r="J26" s="1747">
        <f>+'D-15'!I25</f>
        <v>10407.061216827109</v>
      </c>
      <c r="K26" s="1747">
        <f>+'[6]D-15'!L29-K32</f>
        <v>11889.801216827111</v>
      </c>
      <c r="L26" s="1747">
        <f>'D-15'!O25-189</f>
        <v>14587.141216827107</v>
      </c>
      <c r="M26" s="1747">
        <f>'D-15'!R25</f>
        <v>17833.582289931648</v>
      </c>
      <c r="N26" s="1747">
        <f>'D-15'!U25</f>
        <v>19818.59815534787</v>
      </c>
      <c r="O26" s="952">
        <f>'D-15'!X25</f>
        <v>22714.480413154361</v>
      </c>
    </row>
    <row r="27" spans="1:16" x14ac:dyDescent="0.2">
      <c r="A27" s="1325" t="s">
        <v>100</v>
      </c>
      <c r="B27" s="1325" t="s">
        <v>1146</v>
      </c>
      <c r="C27" s="1747" t="e">
        <f>'[5]D-8'!#REF!</f>
        <v>#REF!</v>
      </c>
      <c r="D27" s="1747" t="e">
        <f>'[5]D-8'!#REF!-20</f>
        <v>#REF!</v>
      </c>
      <c r="E27" s="1747" t="e">
        <f>'[5]D-8'!#REF!+'[5]A-1'!E28+38.86</f>
        <v>#REF!</v>
      </c>
      <c r="F27" s="1748">
        <f>'[5]D-8'!C29</f>
        <v>1572.05</v>
      </c>
      <c r="G27" s="1747">
        <f>'[5]D-8'!F29</f>
        <v>1820.8877</v>
      </c>
      <c r="H27" s="1747">
        <f>'[5]D-8'!I29</f>
        <v>2016.8608999999999</v>
      </c>
      <c r="I27" s="1747">
        <f>+'D-8'!F29</f>
        <v>2370.8486369380003</v>
      </c>
      <c r="J27" s="1747">
        <f>+'D-8'!I29</f>
        <v>2805.8586369379996</v>
      </c>
      <c r="K27" s="1747">
        <f>+'[6]D-8'!L29</f>
        <v>3235.7086369379995</v>
      </c>
      <c r="L27" s="1747">
        <f>'D-8'!O29</f>
        <v>3919.8586369379996</v>
      </c>
      <c r="M27" s="1747">
        <f>'D-8'!R29</f>
        <v>4724.6239893050933</v>
      </c>
      <c r="N27" s="1747">
        <f>'D-8'!U29</f>
        <v>5502.4575073982705</v>
      </c>
      <c r="O27" s="952">
        <f>'D-8'!X29</f>
        <v>6417.9033503824121</v>
      </c>
    </row>
    <row r="28" spans="1:16" x14ac:dyDescent="0.2">
      <c r="A28" s="1325" t="s">
        <v>578</v>
      </c>
      <c r="B28" s="1325" t="s">
        <v>227</v>
      </c>
      <c r="C28" s="952" t="e">
        <f>C26-C27-20</f>
        <v>#REF!</v>
      </c>
      <c r="D28" s="952" t="e">
        <f t="shared" ref="D28:N28" si="3">D26-D27</f>
        <v>#REF!</v>
      </c>
      <c r="E28" s="952" t="e">
        <f t="shared" si="3"/>
        <v>#REF!</v>
      </c>
      <c r="F28" s="1326">
        <f t="shared" si="3"/>
        <v>3323.165333827108</v>
      </c>
      <c r="G28" s="952">
        <f t="shared" si="3"/>
        <v>3784.3612338271087</v>
      </c>
      <c r="H28" s="952">
        <f t="shared" si="3"/>
        <v>5057.4990338271109</v>
      </c>
      <c r="I28" s="952">
        <f t="shared" si="3"/>
        <v>6529.6245798891105</v>
      </c>
      <c r="J28" s="952">
        <f t="shared" si="3"/>
        <v>7601.20257988911</v>
      </c>
      <c r="K28" s="952">
        <f t="shared" si="3"/>
        <v>8654.0925798891112</v>
      </c>
      <c r="L28" s="952">
        <f t="shared" si="3"/>
        <v>10667.282579889108</v>
      </c>
      <c r="M28" s="952">
        <f t="shared" si="3"/>
        <v>13108.958300626555</v>
      </c>
      <c r="N28" s="952">
        <f t="shared" si="3"/>
        <v>14316.1406479496</v>
      </c>
      <c r="O28" s="952">
        <f>O26-O27</f>
        <v>16296.577062771948</v>
      </c>
    </row>
    <row r="29" spans="1:16" x14ac:dyDescent="0.2">
      <c r="A29" s="1325" t="s">
        <v>228</v>
      </c>
      <c r="B29" s="1325" t="s">
        <v>580</v>
      </c>
      <c r="C29" s="952" t="e">
        <f>'[5]D-17'!#REF!</f>
        <v>#REF!</v>
      </c>
      <c r="D29" s="952" t="e">
        <f>'[5]D-17'!#REF!</f>
        <v>#REF!</v>
      </c>
      <c r="E29" s="952" t="e">
        <f>'[5]D-17'!#REF!</f>
        <v>#REF!</v>
      </c>
      <c r="F29" s="1326" t="e">
        <f>'[5]D-17'!#REF!</f>
        <v>#REF!</v>
      </c>
      <c r="G29" s="952">
        <f>'[5]D-17'!B18</f>
        <v>1236.0163999999997</v>
      </c>
      <c r="H29" s="952">
        <f>'[5]D-17'!C18</f>
        <v>1373.8453999999999</v>
      </c>
      <c r="I29" s="952">
        <f>+'D-17'!D17</f>
        <v>502.5609443999997</v>
      </c>
      <c r="J29" s="952">
        <f>+'D-17'!E17</f>
        <v>1006.65</v>
      </c>
      <c r="K29" s="952">
        <f>+'[6]D-17'!F18</f>
        <v>1336.89</v>
      </c>
      <c r="L29" s="952">
        <f>'D-17'!G17</f>
        <v>1276.7600000000002</v>
      </c>
      <c r="M29" s="952">
        <f>'D-17'!H17</f>
        <v>1010.4964431937392</v>
      </c>
      <c r="N29" s="952">
        <f>'D-17'!I17</f>
        <v>1255.4374563945717</v>
      </c>
      <c r="O29" s="952">
        <f>'D-17'!J17</f>
        <v>1953.2883802713463</v>
      </c>
    </row>
    <row r="30" spans="1:16" x14ac:dyDescent="0.2">
      <c r="A30" s="1325"/>
      <c r="B30" s="1325" t="s">
        <v>581</v>
      </c>
      <c r="C30" s="952">
        <v>0</v>
      </c>
      <c r="D30" s="952">
        <v>0</v>
      </c>
      <c r="E30" s="952">
        <v>0</v>
      </c>
      <c r="F30" s="1326">
        <v>0</v>
      </c>
      <c r="G30" s="952">
        <v>0</v>
      </c>
      <c r="H30" s="952">
        <v>0</v>
      </c>
      <c r="I30" s="952">
        <v>0</v>
      </c>
      <c r="J30" s="952">
        <v>0</v>
      </c>
      <c r="K30" s="952">
        <v>0</v>
      </c>
      <c r="L30" s="952">
        <v>0</v>
      </c>
      <c r="M30" s="1325"/>
      <c r="N30" s="1325"/>
      <c r="O30" s="1325"/>
    </row>
    <row r="31" spans="1:16" x14ac:dyDescent="0.2">
      <c r="A31" s="1325"/>
      <c r="B31" s="1325" t="s">
        <v>582</v>
      </c>
      <c r="C31" s="952">
        <v>0</v>
      </c>
      <c r="D31" s="952">
        <v>0</v>
      </c>
      <c r="E31" s="952">
        <v>0</v>
      </c>
      <c r="F31" s="1326">
        <v>10.01</v>
      </c>
      <c r="G31" s="952">
        <v>24.01</v>
      </c>
      <c r="H31" s="952">
        <v>0</v>
      </c>
      <c r="I31" s="952">
        <v>0</v>
      </c>
      <c r="J31" s="952">
        <f>I31</f>
        <v>0</v>
      </c>
      <c r="K31" s="952">
        <f>J31</f>
        <v>0</v>
      </c>
      <c r="L31" s="952">
        <f>K31</f>
        <v>0</v>
      </c>
      <c r="M31" s="1325"/>
      <c r="N31" s="1325"/>
      <c r="O31" s="1325"/>
    </row>
    <row r="32" spans="1:16" x14ac:dyDescent="0.2">
      <c r="A32" s="1325"/>
      <c r="B32" s="1325" t="s">
        <v>583</v>
      </c>
      <c r="C32" s="952">
        <v>0</v>
      </c>
      <c r="D32" s="952">
        <v>0</v>
      </c>
      <c r="E32" s="952">
        <v>0</v>
      </c>
      <c r="F32" s="1326">
        <v>2.12</v>
      </c>
      <c r="G32" s="952">
        <v>2.75</v>
      </c>
      <c r="H32" s="952">
        <v>4.8600000000000003</v>
      </c>
      <c r="I32" s="952">
        <f>+'D-15'!F24</f>
        <v>8</v>
      </c>
      <c r="J32" s="952">
        <f>+'D-15'!I24</f>
        <v>9.23</v>
      </c>
      <c r="K32" s="952">
        <f>+'[6]D-15'!L28</f>
        <v>18.64</v>
      </c>
      <c r="L32" s="952">
        <f>'D-15'!O24-53.65</f>
        <v>136.18999999999997</v>
      </c>
      <c r="M32" s="952">
        <f>'D-15'!R24</f>
        <v>198.12456219999999</v>
      </c>
      <c r="N32" s="952">
        <f>'D-15'!U24</f>
        <v>202.49694834730954</v>
      </c>
      <c r="O32" s="952">
        <f>'D-15'!X24</f>
        <v>210.93643588143789</v>
      </c>
      <c r="P32" s="1461" t="s">
        <v>1221</v>
      </c>
    </row>
    <row r="33" spans="1:19" x14ac:dyDescent="0.2">
      <c r="A33" s="1325"/>
      <c r="B33" s="1741" t="s">
        <v>584</v>
      </c>
      <c r="C33" s="1742" t="e">
        <f t="shared" ref="C33:N33" si="4">SUM(C28:C32)</f>
        <v>#REF!</v>
      </c>
      <c r="D33" s="1742" t="e">
        <f t="shared" si="4"/>
        <v>#REF!</v>
      </c>
      <c r="E33" s="1742" t="e">
        <f t="shared" si="4"/>
        <v>#REF!</v>
      </c>
      <c r="F33" s="1743" t="e">
        <f t="shared" si="4"/>
        <v>#REF!</v>
      </c>
      <c r="G33" s="1742">
        <f t="shared" si="4"/>
        <v>5047.1376338271084</v>
      </c>
      <c r="H33" s="1742">
        <f t="shared" si="4"/>
        <v>6436.2044338271107</v>
      </c>
      <c r="I33" s="1742">
        <f t="shared" si="4"/>
        <v>7040.1855242891106</v>
      </c>
      <c r="J33" s="1742">
        <f t="shared" si="4"/>
        <v>8617.0825798891092</v>
      </c>
      <c r="K33" s="1742">
        <f t="shared" si="4"/>
        <v>10009.62257988911</v>
      </c>
      <c r="L33" s="1742">
        <f t="shared" si="4"/>
        <v>12080.232579889109</v>
      </c>
      <c r="M33" s="1742">
        <f t="shared" si="4"/>
        <v>14317.579306020294</v>
      </c>
      <c r="N33" s="1742">
        <f t="shared" si="4"/>
        <v>15774.07505269148</v>
      </c>
      <c r="O33" s="1742">
        <f>SUM(O28:O32)</f>
        <v>18460.801878924733</v>
      </c>
    </row>
    <row r="34" spans="1:19" x14ac:dyDescent="0.2">
      <c r="A34" s="1325"/>
      <c r="B34" s="1749"/>
      <c r="C34" s="1325"/>
      <c r="D34" s="952"/>
      <c r="E34" s="952"/>
      <c r="F34" s="1326"/>
      <c r="G34" s="952"/>
      <c r="H34" s="952"/>
      <c r="I34" s="952"/>
      <c r="J34" s="952"/>
      <c r="K34" s="952"/>
      <c r="L34" s="952"/>
      <c r="M34" s="1325"/>
      <c r="N34" s="1325"/>
      <c r="O34" s="1325"/>
    </row>
    <row r="35" spans="1:19" x14ac:dyDescent="0.2">
      <c r="A35" s="1325"/>
      <c r="B35" s="1325" t="s">
        <v>585</v>
      </c>
      <c r="C35" s="952">
        <v>0</v>
      </c>
      <c r="D35" s="952">
        <v>1</v>
      </c>
      <c r="E35" s="952">
        <v>10.01</v>
      </c>
      <c r="F35" s="1326">
        <f t="shared" ref="F35:K35" si="5">E35</f>
        <v>10.01</v>
      </c>
      <c r="G35" s="952">
        <f t="shared" si="5"/>
        <v>10.01</v>
      </c>
      <c r="H35" s="952">
        <f t="shared" si="5"/>
        <v>10.01</v>
      </c>
      <c r="I35" s="952">
        <f t="shared" si="5"/>
        <v>10.01</v>
      </c>
      <c r="J35" s="952">
        <f t="shared" si="5"/>
        <v>10.01</v>
      </c>
      <c r="K35" s="952">
        <f t="shared" si="5"/>
        <v>10.01</v>
      </c>
      <c r="L35" s="952">
        <f>K35</f>
        <v>10.01</v>
      </c>
      <c r="M35" s="952">
        <v>0.01</v>
      </c>
      <c r="N35" s="952">
        <f>M35</f>
        <v>0.01</v>
      </c>
      <c r="O35" s="952">
        <f>N35</f>
        <v>0.01</v>
      </c>
    </row>
    <row r="36" spans="1:19" x14ac:dyDescent="0.2">
      <c r="A36" s="1325"/>
      <c r="B36" s="1325"/>
      <c r="C36" s="1325"/>
      <c r="D36" s="952"/>
      <c r="E36" s="952"/>
      <c r="F36" s="1326"/>
      <c r="G36" s="952"/>
      <c r="H36" s="952"/>
      <c r="I36" s="952"/>
      <c r="J36" s="952"/>
      <c r="K36" s="952"/>
      <c r="L36" s="952"/>
      <c r="M36" s="952"/>
      <c r="N36" s="952"/>
      <c r="O36" s="1325"/>
    </row>
    <row r="37" spans="1:19" x14ac:dyDescent="0.2">
      <c r="A37" s="1325"/>
      <c r="B37" s="1325" t="s">
        <v>586</v>
      </c>
      <c r="C37" s="952" t="e">
        <f>'[5]D-3'!#REF!</f>
        <v>#REF!</v>
      </c>
      <c r="D37" s="952">
        <v>0</v>
      </c>
      <c r="E37" s="952">
        <f t="shared" ref="E37:J37" si="6">D37</f>
        <v>0</v>
      </c>
      <c r="F37" s="1326">
        <f t="shared" si="6"/>
        <v>0</v>
      </c>
      <c r="G37" s="952">
        <f t="shared" si="6"/>
        <v>0</v>
      </c>
      <c r="H37" s="952">
        <f t="shared" si="6"/>
        <v>0</v>
      </c>
      <c r="I37" s="952">
        <f t="shared" si="6"/>
        <v>0</v>
      </c>
      <c r="J37" s="952">
        <f t="shared" si="6"/>
        <v>0</v>
      </c>
      <c r="K37" s="952">
        <f>O37</f>
        <v>0</v>
      </c>
      <c r="L37" s="952">
        <f>P37</f>
        <v>0</v>
      </c>
      <c r="M37" s="952">
        <f>Q37</f>
        <v>0</v>
      </c>
      <c r="N37" s="952">
        <f>R37</f>
        <v>0</v>
      </c>
      <c r="O37" s="1325"/>
    </row>
    <row r="38" spans="1:19" x14ac:dyDescent="0.2">
      <c r="A38" s="1325"/>
      <c r="B38" s="1325"/>
      <c r="C38" s="1325"/>
      <c r="D38" s="1325"/>
      <c r="E38" s="1325"/>
      <c r="F38" s="1738"/>
      <c r="G38" s="1325"/>
      <c r="H38" s="1325"/>
      <c r="I38" s="1325"/>
      <c r="J38" s="1325"/>
      <c r="K38" s="1325"/>
      <c r="L38" s="1325"/>
      <c r="M38" s="1325"/>
      <c r="N38" s="1325"/>
      <c r="O38" s="1325"/>
    </row>
    <row r="39" spans="1:19" ht="10.5" customHeight="1" x14ac:dyDescent="0.2">
      <c r="A39" s="1325"/>
      <c r="B39" s="1740" t="s">
        <v>587</v>
      </c>
      <c r="C39" s="1325"/>
      <c r="D39" s="1325"/>
      <c r="E39" s="1325"/>
      <c r="F39" s="1738"/>
      <c r="G39" s="1325"/>
      <c r="H39" s="1325"/>
      <c r="I39" s="1325"/>
      <c r="J39" s="1325"/>
      <c r="K39" s="1325"/>
      <c r="L39" s="1325"/>
      <c r="M39" s="1325"/>
      <c r="N39" s="1325"/>
      <c r="O39" s="1325"/>
    </row>
    <row r="40" spans="1:19" x14ac:dyDescent="0.2">
      <c r="A40" s="1325"/>
      <c r="B40" s="1750" t="s">
        <v>1147</v>
      </c>
      <c r="C40" s="1325"/>
      <c r="D40" s="1325"/>
      <c r="E40" s="1325"/>
      <c r="F40" s="1738"/>
      <c r="G40" s="1325"/>
      <c r="H40" s="1325"/>
      <c r="I40" s="1325"/>
      <c r="J40" s="1325"/>
      <c r="K40" s="1325"/>
      <c r="L40" s="1325"/>
      <c r="M40" s="1751"/>
      <c r="N40" s="1751"/>
      <c r="O40" s="1751"/>
      <c r="P40" s="442"/>
    </row>
    <row r="41" spans="1:19" x14ac:dyDescent="0.2">
      <c r="A41" s="1325"/>
      <c r="B41" s="1325" t="s">
        <v>588</v>
      </c>
      <c r="C41" s="952">
        <v>105.01</v>
      </c>
      <c r="D41" s="952">
        <f>87.96</f>
        <v>87.96</v>
      </c>
      <c r="E41" s="952">
        <v>112.27</v>
      </c>
      <c r="F41" s="1326">
        <v>90.27</v>
      </c>
      <c r="G41" s="952">
        <v>155.82</v>
      </c>
      <c r="H41" s="952">
        <v>251.65</v>
      </c>
      <c r="I41" s="952">
        <f>116.95+27.87</f>
        <v>144.82</v>
      </c>
      <c r="J41" s="952">
        <f>122.98+33.49</f>
        <v>156.47</v>
      </c>
      <c r="K41" s="952">
        <v>195.73</v>
      </c>
      <c r="L41" s="952">
        <v>218.47</v>
      </c>
      <c r="M41" s="952">
        <v>241.23</v>
      </c>
      <c r="N41" s="952">
        <f>((M41)+M41*5/100)</f>
        <v>253.29149999999998</v>
      </c>
      <c r="O41" s="952">
        <f>((N41)+N41*5/100)</f>
        <v>265.956075</v>
      </c>
      <c r="P41" s="442"/>
    </row>
    <row r="42" spans="1:19" x14ac:dyDescent="0.2">
      <c r="A42" s="1325" t="s">
        <v>589</v>
      </c>
      <c r="B42" s="1325" t="s">
        <v>590</v>
      </c>
      <c r="C42" s="952">
        <v>1791.24</v>
      </c>
      <c r="D42" s="952">
        <v>2694.57</v>
      </c>
      <c r="E42" s="952">
        <v>3754.49</v>
      </c>
      <c r="F42" s="1326">
        <v>4727.99</v>
      </c>
      <c r="G42" s="952">
        <v>5892.88</v>
      </c>
      <c r="H42" s="952">
        <v>4371.3</v>
      </c>
      <c r="I42" s="952">
        <v>5659.96</v>
      </c>
      <c r="J42" s="952">
        <v>7178.6</v>
      </c>
      <c r="K42" s="952">
        <v>6090.65</v>
      </c>
      <c r="L42" s="952">
        <v>7194.85</v>
      </c>
      <c r="M42" s="952">
        <v>8525.2000000000007</v>
      </c>
      <c r="N42" s="952">
        <f>M42+'D2-new'!Z84*2%</f>
        <v>8912.5497266723105</v>
      </c>
      <c r="O42" s="952">
        <f>N42+'D2-new'!AD84*2%</f>
        <v>9330.6642155591926</v>
      </c>
      <c r="P42" s="1460" t="s">
        <v>1220</v>
      </c>
    </row>
    <row r="43" spans="1:19" x14ac:dyDescent="0.2">
      <c r="A43" s="1325"/>
      <c r="B43" s="1325" t="s">
        <v>295</v>
      </c>
      <c r="C43" s="1752">
        <v>110.81</v>
      </c>
      <c r="D43" s="1752">
        <v>136.44</v>
      </c>
      <c r="E43" s="1752">
        <v>97.14</v>
      </c>
      <c r="F43" s="1753">
        <v>281.83999999999997</v>
      </c>
      <c r="G43" s="458">
        <v>143.49</v>
      </c>
      <c r="H43" s="458">
        <v>170.15</v>
      </c>
      <c r="I43" s="458">
        <v>143.08000000000001</v>
      </c>
      <c r="J43" s="458">
        <v>190.25</v>
      </c>
      <c r="K43" s="458">
        <v>201.65</v>
      </c>
      <c r="L43" s="458">
        <v>225.74</v>
      </c>
      <c r="M43" s="952">
        <f>73.59+102.48</f>
        <v>176.07</v>
      </c>
      <c r="N43" s="952">
        <f>M43+M43*5%</f>
        <v>184.87349999999998</v>
      </c>
      <c r="O43" s="952">
        <f>N43+N43*5%</f>
        <v>194.11717499999997</v>
      </c>
    </row>
    <row r="44" spans="1:19" x14ac:dyDescent="0.2">
      <c r="A44" s="1325"/>
      <c r="B44" s="1325" t="s">
        <v>1148</v>
      </c>
      <c r="C44" s="952">
        <v>171.6</v>
      </c>
      <c r="D44" s="952">
        <v>257.33</v>
      </c>
      <c r="E44" s="952">
        <f>288.37+232.54</f>
        <v>520.91</v>
      </c>
      <c r="F44" s="1326">
        <f>426+113.24</f>
        <v>539.24</v>
      </c>
      <c r="G44" s="952">
        <v>677.79</v>
      </c>
      <c r="H44" s="952">
        <f>624.45+39.65</f>
        <v>664.1</v>
      </c>
      <c r="I44" s="952">
        <f>396.39+394.83+20.77</f>
        <v>811.99</v>
      </c>
      <c r="J44" s="952">
        <f>494.26+620.99+16.92+84.77</f>
        <v>1216.94</v>
      </c>
      <c r="K44" s="952">
        <f>669.43+12.63+753.86</f>
        <v>1435.92</v>
      </c>
      <c r="L44" s="952">
        <v>1469.18</v>
      </c>
      <c r="M44" s="952">
        <f>907.89+417.09</f>
        <v>1324.98</v>
      </c>
      <c r="N44" s="952">
        <f>M44+M44*5%</f>
        <v>1391.229</v>
      </c>
      <c r="O44" s="952">
        <f>N44+N44*5%</f>
        <v>1460.79045</v>
      </c>
    </row>
    <row r="45" spans="1:19" x14ac:dyDescent="0.2">
      <c r="A45" s="1325"/>
      <c r="B45" s="1325" t="s">
        <v>296</v>
      </c>
      <c r="C45" s="952">
        <v>398.41</v>
      </c>
      <c r="D45" s="952">
        <v>377.17</v>
      </c>
      <c r="E45" s="952">
        <f>752.17-76.01</f>
        <v>676.16</v>
      </c>
      <c r="F45" s="1326">
        <v>574.66999999999996</v>
      </c>
      <c r="G45" s="952">
        <v>582.80999999999995</v>
      </c>
      <c r="H45" s="952">
        <v>2742.28</v>
      </c>
      <c r="I45" s="952">
        <v>2170.0700000000002</v>
      </c>
      <c r="J45" s="952">
        <f>2194.05-379+2.31</f>
        <v>1817.3600000000001</v>
      </c>
      <c r="K45" s="952">
        <f>2055.62+38.51+170.75+17.95</f>
        <v>2282.83</v>
      </c>
      <c r="L45" s="952">
        <v>3646.4700000000003</v>
      </c>
      <c r="M45" s="1754">
        <v>2781.79</v>
      </c>
      <c r="N45" s="1754">
        <v>3164.29</v>
      </c>
      <c r="O45" s="1754">
        <f>2272.69+1148.74</f>
        <v>3421.4300000000003</v>
      </c>
      <c r="Q45" s="457"/>
      <c r="R45" s="457"/>
      <c r="S45" s="457"/>
    </row>
    <row r="46" spans="1:19" s="450" customFormat="1" x14ac:dyDescent="0.2">
      <c r="A46" s="1740"/>
      <c r="B46" s="1741" t="s">
        <v>297</v>
      </c>
      <c r="C46" s="1742">
        <f t="shared" ref="C46:N46" si="7">SUM(C41:C45)</f>
        <v>2577.0699999999997</v>
      </c>
      <c r="D46" s="1742">
        <f t="shared" si="7"/>
        <v>3553.4700000000003</v>
      </c>
      <c r="E46" s="1742">
        <f t="shared" si="7"/>
        <v>5160.9699999999993</v>
      </c>
      <c r="F46" s="1743">
        <f t="shared" si="7"/>
        <v>6214.01</v>
      </c>
      <c r="G46" s="1742">
        <f t="shared" si="7"/>
        <v>7452.7899999999991</v>
      </c>
      <c r="H46" s="1742">
        <f t="shared" si="7"/>
        <v>8199.48</v>
      </c>
      <c r="I46" s="1742">
        <f t="shared" si="7"/>
        <v>8929.92</v>
      </c>
      <c r="J46" s="1742">
        <f t="shared" si="7"/>
        <v>10559.62</v>
      </c>
      <c r="K46" s="1742">
        <f t="shared" si="7"/>
        <v>10206.779999999999</v>
      </c>
      <c r="L46" s="1742">
        <f t="shared" si="7"/>
        <v>12754.71</v>
      </c>
      <c r="M46" s="1742">
        <f t="shared" si="7"/>
        <v>13049.27</v>
      </c>
      <c r="N46" s="1742">
        <f t="shared" si="7"/>
        <v>13906.233726672308</v>
      </c>
      <c r="O46" s="1742">
        <f>SUM(O41:O45)</f>
        <v>14672.957915559193</v>
      </c>
    </row>
    <row r="47" spans="1:19" x14ac:dyDescent="0.2">
      <c r="A47" s="1325"/>
      <c r="B47" s="1740" t="s">
        <v>298</v>
      </c>
      <c r="C47" s="952"/>
      <c r="D47" s="1755"/>
      <c r="E47" s="1755"/>
      <c r="F47" s="1327"/>
      <c r="G47" s="1325"/>
      <c r="H47" s="1325"/>
      <c r="I47" s="1325"/>
      <c r="J47" s="1325"/>
      <c r="K47" s="1325"/>
      <c r="L47" s="1325"/>
      <c r="M47" s="952"/>
      <c r="N47" s="952"/>
      <c r="O47" s="1325"/>
    </row>
    <row r="48" spans="1:19" x14ac:dyDescent="0.2">
      <c r="A48" s="1325"/>
      <c r="B48" s="1325" t="s">
        <v>299</v>
      </c>
      <c r="C48" s="952">
        <v>1732.59</v>
      </c>
      <c r="D48" s="952">
        <v>1819.71</v>
      </c>
      <c r="E48" s="952">
        <f>1933.71+73.13</f>
        <v>2006.8400000000001</v>
      </c>
      <c r="F48" s="1326">
        <v>2347.98</v>
      </c>
      <c r="G48" s="952">
        <v>2569.77</v>
      </c>
      <c r="H48" s="952">
        <v>3016.35</v>
      </c>
      <c r="I48" s="952">
        <v>3302.72</v>
      </c>
      <c r="J48" s="952">
        <v>3622.77</v>
      </c>
      <c r="K48" s="952">
        <v>3972.66</v>
      </c>
      <c r="L48" s="952">
        <v>4239.6099999999997</v>
      </c>
      <c r="M48" s="952">
        <v>4582.21</v>
      </c>
      <c r="N48" s="952">
        <f>M48+350</f>
        <v>4932.21</v>
      </c>
      <c r="O48" s="952">
        <f>N48+350</f>
        <v>5282.21</v>
      </c>
      <c r="P48" s="457"/>
    </row>
    <row r="49" spans="1:15" x14ac:dyDescent="0.2">
      <c r="A49" s="1325"/>
      <c r="B49" s="1325" t="s">
        <v>300</v>
      </c>
      <c r="C49" s="952">
        <v>0</v>
      </c>
      <c r="D49" s="952">
        <v>0</v>
      </c>
      <c r="E49" s="952"/>
      <c r="F49" s="1326">
        <v>0</v>
      </c>
      <c r="G49" s="952">
        <f>'[5]D-9'!J34</f>
        <v>2018.89</v>
      </c>
      <c r="H49" s="952">
        <f>'[5]D-9'!P34</f>
        <v>2820.05</v>
      </c>
      <c r="I49" s="952">
        <f>+'D-9'!P89</f>
        <v>3674.5300000000007</v>
      </c>
      <c r="J49" s="952">
        <f>+'D-9'!V89</f>
        <v>3781.7899999999995</v>
      </c>
      <c r="K49" s="952">
        <f>'[6]D-9'!AB68</f>
        <v>3764.7200000000003</v>
      </c>
      <c r="L49" s="952">
        <f>'D-9'!AH89</f>
        <v>3953.42</v>
      </c>
      <c r="M49" s="952">
        <f>'D-9'!AN89</f>
        <v>4836.0099999999993</v>
      </c>
      <c r="N49" s="952">
        <f>'D-9'!AT89</f>
        <v>4469.67</v>
      </c>
      <c r="O49" s="952">
        <f>'D-9'!AZ89</f>
        <v>4182.88</v>
      </c>
    </row>
    <row r="50" spans="1:15" x14ac:dyDescent="0.2">
      <c r="A50" s="1325"/>
      <c r="B50" s="1325" t="s">
        <v>216</v>
      </c>
      <c r="C50" s="952">
        <v>124.01</v>
      </c>
      <c r="D50" s="952">
        <v>172.87</v>
      </c>
      <c r="E50" s="952">
        <v>293.27</v>
      </c>
      <c r="F50" s="1326">
        <f>455.05</f>
        <v>455.05</v>
      </c>
      <c r="G50" s="952">
        <v>586.82000000000005</v>
      </c>
      <c r="H50" s="952">
        <v>336.51</v>
      </c>
      <c r="I50" s="952">
        <f>3980.03-3300.3+138.98+76.75-0.4</f>
        <v>895.06000000000006</v>
      </c>
      <c r="J50" s="952">
        <f>4923.56-3884.97+126.88</f>
        <v>1165.4700000000007</v>
      </c>
      <c r="K50" s="952">
        <f>870.14+182.78+617.08+17.58+122.76</f>
        <v>1810.34</v>
      </c>
      <c r="L50" s="952">
        <v>1901.09</v>
      </c>
      <c r="M50" s="952">
        <f>684.81+240.19+19.2</f>
        <v>944.2</v>
      </c>
      <c r="N50" s="952">
        <f>M50+M50*15%</f>
        <v>1085.83</v>
      </c>
      <c r="O50" s="952">
        <f>N50+N50*15%</f>
        <v>1248.7044999999998</v>
      </c>
    </row>
    <row r="51" spans="1:15" x14ac:dyDescent="0.2">
      <c r="A51" s="1325"/>
      <c r="B51" s="1325" t="s">
        <v>469</v>
      </c>
      <c r="C51" s="1756">
        <v>1234.75</v>
      </c>
      <c r="D51" s="1756">
        <v>1312.47</v>
      </c>
      <c r="E51" s="1756">
        <v>1708.8</v>
      </c>
      <c r="F51" s="1757">
        <v>2910.07</v>
      </c>
      <c r="G51" s="1756">
        <v>3499.42</v>
      </c>
      <c r="H51" s="1756">
        <v>3942.32</v>
      </c>
      <c r="I51" s="1756">
        <v>3300.3</v>
      </c>
      <c r="J51" s="1756">
        <v>3884.97</v>
      </c>
      <c r="K51" s="1756">
        <v>2792.32</v>
      </c>
      <c r="L51" s="1756">
        <v>5485.22</v>
      </c>
      <c r="M51" s="1758">
        <v>6117.8320000000003</v>
      </c>
      <c r="N51" s="1758">
        <f>(M51+'A-1'!F21)*20%</f>
        <v>4564.7561493534204</v>
      </c>
      <c r="O51" s="1758">
        <f>(N51+'A-1'!G21)*25%</f>
        <v>5548.5808660822295</v>
      </c>
    </row>
    <row r="52" spans="1:15" x14ac:dyDescent="0.2">
      <c r="A52" s="1325"/>
      <c r="B52" s="1325" t="s">
        <v>866</v>
      </c>
      <c r="C52" s="952">
        <v>59.83</v>
      </c>
      <c r="D52" s="952">
        <f>38.66+11.29</f>
        <v>49.949999999999996</v>
      </c>
      <c r="E52" s="952">
        <v>38.07</v>
      </c>
      <c r="F52" s="1326">
        <f>72.37+5.75</f>
        <v>78.12</v>
      </c>
      <c r="G52" s="952">
        <v>10.07</v>
      </c>
      <c r="H52" s="952">
        <f>36.89+50.09</f>
        <v>86.98</v>
      </c>
      <c r="I52" s="952">
        <f>51.13+336.33+15.11+14.2</f>
        <v>416.77</v>
      </c>
      <c r="J52" s="952">
        <f>51.59+490.98+12.75+165.09</f>
        <v>720.41000000000008</v>
      </c>
      <c r="K52" s="952">
        <v>71.319999999999993</v>
      </c>
      <c r="L52" s="952">
        <v>75.05</v>
      </c>
      <c r="M52" s="952">
        <v>83.95</v>
      </c>
      <c r="N52" s="952">
        <f>(M52)+M52*10%</f>
        <v>92.344999999999999</v>
      </c>
      <c r="O52" s="952">
        <f>(N52)+N52*10%</f>
        <v>101.5795</v>
      </c>
    </row>
    <row r="53" spans="1:15" x14ac:dyDescent="0.2">
      <c r="A53" s="1325"/>
      <c r="B53" s="1325" t="s">
        <v>470</v>
      </c>
      <c r="C53" s="952">
        <v>0.92</v>
      </c>
      <c r="D53" s="952">
        <v>1.03</v>
      </c>
      <c r="E53" s="952"/>
      <c r="F53" s="1326"/>
      <c r="G53" s="952"/>
      <c r="H53" s="952"/>
      <c r="I53" s="952">
        <v>38.86</v>
      </c>
      <c r="J53" s="952">
        <v>37.81</v>
      </c>
      <c r="K53" s="952">
        <f>68.44+56.88</f>
        <v>125.32</v>
      </c>
      <c r="L53" s="952">
        <v>327.19</v>
      </c>
      <c r="M53" s="952">
        <v>307.12</v>
      </c>
      <c r="N53" s="952">
        <v>327.19</v>
      </c>
      <c r="O53" s="952">
        <v>328.19</v>
      </c>
    </row>
    <row r="54" spans="1:15" x14ac:dyDescent="0.2">
      <c r="A54" s="1325"/>
      <c r="B54" s="1741" t="s">
        <v>217</v>
      </c>
      <c r="C54" s="1742">
        <f t="shared" ref="C54:K54" si="8">SUM(C48:C53)</f>
        <v>3152.1</v>
      </c>
      <c r="D54" s="1742">
        <f t="shared" si="8"/>
        <v>3356.03</v>
      </c>
      <c r="E54" s="1742">
        <f t="shared" si="8"/>
        <v>4046.98</v>
      </c>
      <c r="F54" s="1743">
        <f t="shared" si="8"/>
        <v>5791.22</v>
      </c>
      <c r="G54" s="1742">
        <f t="shared" si="8"/>
        <v>8684.9699999999993</v>
      </c>
      <c r="H54" s="1742">
        <f t="shared" si="8"/>
        <v>10202.209999999999</v>
      </c>
      <c r="I54" s="1742">
        <f t="shared" si="8"/>
        <v>11628.240000000002</v>
      </c>
      <c r="J54" s="1742">
        <f t="shared" si="8"/>
        <v>13213.22</v>
      </c>
      <c r="K54" s="1742">
        <f t="shared" si="8"/>
        <v>12536.679999999998</v>
      </c>
      <c r="L54" s="1742">
        <f>SUM(L48:L53)</f>
        <v>15981.58</v>
      </c>
      <c r="M54" s="1742">
        <f>SUM(M48:M53)</f>
        <v>16871.322</v>
      </c>
      <c r="N54" s="1742">
        <f>SUM(N48:N53)</f>
        <v>15472.001149353422</v>
      </c>
      <c r="O54" s="1742">
        <f>SUM(O48:O53)</f>
        <v>16692.144866082228</v>
      </c>
    </row>
    <row r="55" spans="1:15" x14ac:dyDescent="0.2">
      <c r="A55" s="1325"/>
      <c r="B55" s="1741" t="s">
        <v>218</v>
      </c>
      <c r="C55" s="1745">
        <f t="shared" ref="C55:K55" si="9">C46-C54</f>
        <v>-575.0300000000002</v>
      </c>
      <c r="D55" s="1745">
        <f t="shared" si="9"/>
        <v>197.44000000000005</v>
      </c>
      <c r="E55" s="1745">
        <f t="shared" si="9"/>
        <v>1113.9899999999993</v>
      </c>
      <c r="F55" s="1746">
        <f t="shared" si="9"/>
        <v>422.78999999999996</v>
      </c>
      <c r="G55" s="1745">
        <f t="shared" si="9"/>
        <v>-1232.1800000000003</v>
      </c>
      <c r="H55" s="1745">
        <f t="shared" si="9"/>
        <v>-2002.7299999999996</v>
      </c>
      <c r="I55" s="1745">
        <f t="shared" si="9"/>
        <v>-2698.3200000000015</v>
      </c>
      <c r="J55" s="1745">
        <f t="shared" si="9"/>
        <v>-2653.5999999999985</v>
      </c>
      <c r="K55" s="1745">
        <f t="shared" si="9"/>
        <v>-2329.8999999999996</v>
      </c>
      <c r="L55" s="1745">
        <f>L46-L54</f>
        <v>-3226.8700000000008</v>
      </c>
      <c r="M55" s="1745">
        <f>M46-M54</f>
        <v>-3822.0519999999997</v>
      </c>
      <c r="N55" s="1745">
        <f>N46-N54</f>
        <v>-1565.7674226811141</v>
      </c>
      <c r="O55" s="1745">
        <f>O46-O54</f>
        <v>-2019.1869505230352</v>
      </c>
    </row>
    <row r="56" spans="1:15" x14ac:dyDescent="0.2">
      <c r="A56" s="1325"/>
      <c r="B56" s="1741" t="s">
        <v>1219</v>
      </c>
      <c r="C56" s="1759">
        <v>350.88</v>
      </c>
      <c r="D56" s="952">
        <v>350.68</v>
      </c>
      <c r="E56" s="952"/>
      <c r="F56" s="1326"/>
      <c r="G56" s="952"/>
      <c r="H56" s="952">
        <v>113.44</v>
      </c>
      <c r="I56" s="952">
        <v>119.52</v>
      </c>
      <c r="J56" s="952"/>
      <c r="K56" s="952"/>
      <c r="L56" s="952"/>
      <c r="M56" s="952"/>
      <c r="N56" s="952"/>
      <c r="O56" s="952"/>
    </row>
    <row r="57" spans="1:15" x14ac:dyDescent="0.2">
      <c r="A57" s="1325"/>
      <c r="B57" s="1741" t="s">
        <v>353</v>
      </c>
      <c r="C57" s="1745" t="e">
        <f t="shared" ref="C57:I57" si="10">C33+C35+C37+C55+C56</f>
        <v>#REF!</v>
      </c>
      <c r="D57" s="1745" t="e">
        <f t="shared" si="10"/>
        <v>#REF!</v>
      </c>
      <c r="E57" s="1745" t="e">
        <f t="shared" si="10"/>
        <v>#REF!</v>
      </c>
      <c r="F57" s="1746" t="e">
        <f t="shared" si="10"/>
        <v>#REF!</v>
      </c>
      <c r="G57" s="1745">
        <f t="shared" si="10"/>
        <v>3824.9676338271083</v>
      </c>
      <c r="H57" s="1745">
        <f t="shared" si="10"/>
        <v>4556.924433827111</v>
      </c>
      <c r="I57" s="1745">
        <f t="shared" si="10"/>
        <v>4471.3955242891097</v>
      </c>
      <c r="J57" s="1760">
        <f t="shared" ref="J57:O57" si="11">J33+J35+J37+J55+J56</f>
        <v>5973.4925798891109</v>
      </c>
      <c r="K57" s="1745">
        <f t="shared" si="11"/>
        <v>7689.7325798891106</v>
      </c>
      <c r="L57" s="1745">
        <f t="shared" si="11"/>
        <v>8863.3725798891082</v>
      </c>
      <c r="M57" s="1745">
        <f t="shared" si="11"/>
        <v>10495.537306020295</v>
      </c>
      <c r="N57" s="1745">
        <f t="shared" si="11"/>
        <v>14208.317630010366</v>
      </c>
      <c r="O57" s="1745">
        <f t="shared" si="11"/>
        <v>16441.624928401696</v>
      </c>
    </row>
    <row r="58" spans="1:15" ht="11.25" customHeight="1" x14ac:dyDescent="0.2">
      <c r="A58" s="459"/>
      <c r="B58" s="460" t="s">
        <v>94</v>
      </c>
      <c r="C58" s="460" t="e">
        <f t="shared" ref="C58:H58" si="12">C21-C57</f>
        <v>#REF!</v>
      </c>
      <c r="D58" s="460" t="e">
        <f t="shared" si="12"/>
        <v>#REF!</v>
      </c>
      <c r="E58" s="460" t="e">
        <f t="shared" si="12"/>
        <v>#REF!</v>
      </c>
      <c r="F58" s="460" t="e">
        <f t="shared" si="12"/>
        <v>#REF!</v>
      </c>
      <c r="G58" s="461">
        <f t="shared" si="12"/>
        <v>50.222366172891725</v>
      </c>
      <c r="H58" s="462">
        <f t="shared" si="12"/>
        <v>-4.4338271109154448E-3</v>
      </c>
      <c r="I58" s="463">
        <f t="shared" ref="I58:O58" si="13">+I21-I57</f>
        <v>1181.3587373108903</v>
      </c>
      <c r="J58" s="463">
        <f t="shared" si="13"/>
        <v>993.88252011088844</v>
      </c>
      <c r="K58" s="463">
        <f t="shared" si="13"/>
        <v>2.5201108892360935E-3</v>
      </c>
      <c r="L58" s="463">
        <f t="shared" si="13"/>
        <v>1.525108909845585E-4</v>
      </c>
      <c r="M58" s="463">
        <f t="shared" si="13"/>
        <v>2.879865371141932E-3</v>
      </c>
      <c r="N58" s="463">
        <f t="shared" si="13"/>
        <v>-2.2455843427451327E-3</v>
      </c>
      <c r="O58" s="463">
        <f t="shared" si="13"/>
        <v>4.9877413257490844E-3</v>
      </c>
    </row>
    <row r="59" spans="1:15" ht="11.25" customHeight="1" x14ac:dyDescent="0.2">
      <c r="A59" s="459"/>
      <c r="B59" s="452"/>
      <c r="C59" s="460"/>
      <c r="D59" s="460"/>
      <c r="E59" s="460"/>
      <c r="F59" s="460"/>
      <c r="G59" s="460"/>
      <c r="H59" s="464">
        <f>H57-H21</f>
        <v>4.4338271109154448E-3</v>
      </c>
      <c r="I59" s="464"/>
      <c r="J59" s="540"/>
      <c r="K59" s="540"/>
      <c r="L59" s="457"/>
    </row>
    <row r="60" spans="1:15" ht="11.25" customHeight="1" x14ac:dyDescent="0.2">
      <c r="A60" s="459"/>
      <c r="B60" s="460"/>
      <c r="D60" s="460"/>
      <c r="I60" s="460"/>
      <c r="J60" s="539"/>
      <c r="L60" s="460"/>
    </row>
    <row r="61" spans="1:15" ht="11.25" customHeight="1" x14ac:dyDescent="0.2">
      <c r="A61" s="459"/>
      <c r="B61" s="465"/>
      <c r="C61" s="466"/>
      <c r="D61" s="466"/>
      <c r="E61" s="466"/>
      <c r="F61" s="466"/>
      <c r="I61" s="460"/>
      <c r="L61" s="678"/>
    </row>
    <row r="62" spans="1:15" x14ac:dyDescent="0.2">
      <c r="C62" s="467" t="e">
        <f>C57-C61</f>
        <v>#REF!</v>
      </c>
    </row>
    <row r="63" spans="1:15" x14ac:dyDescent="0.2">
      <c r="C63" s="460"/>
      <c r="D63" s="460"/>
      <c r="E63" s="460"/>
      <c r="F63" s="460"/>
      <c r="I63" s="539"/>
    </row>
    <row r="64" spans="1:15" x14ac:dyDescent="0.2">
      <c r="C64" s="468"/>
    </row>
    <row r="65" spans="3:6" x14ac:dyDescent="0.2">
      <c r="C65" s="457"/>
      <c r="D65" s="457"/>
      <c r="E65" s="457"/>
      <c r="F65" s="457"/>
    </row>
    <row r="66" spans="3:6" x14ac:dyDescent="0.2">
      <c r="C66" s="460"/>
      <c r="D66" s="460"/>
      <c r="E66" s="460"/>
      <c r="F66" s="460"/>
    </row>
    <row r="67" spans="3:6" x14ac:dyDescent="0.2">
      <c r="C67" s="460"/>
      <c r="D67" s="460"/>
      <c r="E67" s="460"/>
      <c r="F67" s="460"/>
    </row>
  </sheetData>
  <mergeCells count="1">
    <mergeCell ref="A2:B2"/>
  </mergeCells>
  <printOptions horizontalCentered="1" gridLines="1"/>
  <pageMargins left="0.5" right="0.5" top="0.5" bottom="0.5" header="0.5" footer="0.5"/>
  <pageSetup paperSize="9" scale="9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workbookViewId="0">
      <selection activeCell="J24" sqref="J24"/>
    </sheetView>
  </sheetViews>
  <sheetFormatPr defaultRowHeight="12.75" x14ac:dyDescent="0.2"/>
  <cols>
    <col min="1" max="1" width="4.5703125" customWidth="1"/>
    <col min="3" max="3" width="26.140625" customWidth="1"/>
    <col min="4" max="4" width="12.5703125" customWidth="1"/>
    <col min="5" max="5" width="17.28515625" customWidth="1"/>
    <col min="6" max="6" width="13" customWidth="1"/>
    <col min="7" max="7" width="15.28515625" customWidth="1"/>
  </cols>
  <sheetData>
    <row r="1" spans="1:7" x14ac:dyDescent="0.2">
      <c r="A1" s="293"/>
      <c r="B1" s="328"/>
      <c r="C1" s="293"/>
      <c r="D1" s="293"/>
      <c r="E1" s="293"/>
      <c r="F1" s="293"/>
      <c r="G1" s="1" t="s">
        <v>650</v>
      </c>
    </row>
    <row r="2" spans="1:7" x14ac:dyDescent="0.2">
      <c r="A2" s="1781" t="s">
        <v>651</v>
      </c>
      <c r="B2" s="1880"/>
      <c r="C2" s="1880"/>
      <c r="D2" s="1880"/>
      <c r="E2" s="1880"/>
      <c r="F2" s="1880"/>
      <c r="G2" s="1880"/>
    </row>
    <row r="3" spans="1:7" x14ac:dyDescent="0.2">
      <c r="A3" s="84"/>
      <c r="B3" s="71"/>
      <c r="C3" s="71"/>
      <c r="D3" s="71"/>
      <c r="E3" s="71"/>
      <c r="F3" s="71"/>
      <c r="G3" s="2" t="s">
        <v>638</v>
      </c>
    </row>
    <row r="4" spans="1:7" x14ac:dyDescent="0.2">
      <c r="A4" s="293"/>
      <c r="B4" s="328"/>
      <c r="C4" s="293"/>
      <c r="D4" s="293"/>
      <c r="E4" s="293"/>
      <c r="F4" s="293"/>
      <c r="G4" s="329" t="s">
        <v>116</v>
      </c>
    </row>
    <row r="5" spans="1:7" x14ac:dyDescent="0.2">
      <c r="A5" s="2042" t="s">
        <v>652</v>
      </c>
      <c r="B5" s="2074" t="s">
        <v>640</v>
      </c>
      <c r="C5" s="2042" t="s">
        <v>641</v>
      </c>
      <c r="D5" s="2050" t="s">
        <v>653</v>
      </c>
      <c r="E5" s="2050"/>
      <c r="F5" s="2088" t="s">
        <v>654</v>
      </c>
      <c r="G5" s="2089"/>
    </row>
    <row r="6" spans="1:7" x14ac:dyDescent="0.2">
      <c r="A6" s="2084"/>
      <c r="B6" s="2086"/>
      <c r="C6" s="2084"/>
      <c r="D6" s="2090" t="s">
        <v>655</v>
      </c>
      <c r="E6" s="2075" t="s">
        <v>656</v>
      </c>
      <c r="F6" s="2042" t="s">
        <v>655</v>
      </c>
      <c r="G6" s="2042" t="s">
        <v>656</v>
      </c>
    </row>
    <row r="7" spans="1:7" x14ac:dyDescent="0.2">
      <c r="A7" s="2084"/>
      <c r="B7" s="2086"/>
      <c r="C7" s="2084"/>
      <c r="D7" s="2091"/>
      <c r="E7" s="1786"/>
      <c r="F7" s="2043"/>
      <c r="G7" s="2043"/>
    </row>
    <row r="8" spans="1:7" x14ac:dyDescent="0.2">
      <c r="A8" s="2085"/>
      <c r="B8" s="2087"/>
      <c r="C8" s="2085"/>
      <c r="D8" s="2091"/>
      <c r="E8" s="1786"/>
      <c r="F8" s="2043"/>
      <c r="G8" s="2043"/>
    </row>
    <row r="9" spans="1:7" x14ac:dyDescent="0.2">
      <c r="A9" s="300"/>
      <c r="B9" s="301"/>
      <c r="C9" s="296"/>
      <c r="D9" s="330"/>
      <c r="E9" s="303"/>
      <c r="F9" s="302"/>
      <c r="G9" s="302"/>
    </row>
    <row r="10" spans="1:7" ht="14.25" x14ac:dyDescent="0.2">
      <c r="A10" s="300"/>
      <c r="B10" s="105" t="s">
        <v>238</v>
      </c>
      <c r="C10" s="222" t="s">
        <v>490</v>
      </c>
      <c r="D10" s="255">
        <f>'D2-new'!AD10</f>
        <v>177.32346067463544</v>
      </c>
      <c r="E10" s="305"/>
      <c r="F10" s="255">
        <v>208.04</v>
      </c>
      <c r="G10" s="304"/>
    </row>
    <row r="11" spans="1:7" ht="14.25" x14ac:dyDescent="0.2">
      <c r="A11" s="306"/>
      <c r="B11" s="307"/>
      <c r="C11" s="331"/>
      <c r="D11" s="332"/>
      <c r="E11" s="307"/>
      <c r="F11" s="333"/>
      <c r="G11" s="306"/>
    </row>
    <row r="12" spans="1:7" ht="25.5" x14ac:dyDescent="0.2">
      <c r="A12" s="310"/>
      <c r="B12" s="105" t="s">
        <v>430</v>
      </c>
      <c r="C12" s="222" t="s">
        <v>50</v>
      </c>
      <c r="D12" s="345"/>
      <c r="E12" s="346"/>
      <c r="F12" s="347"/>
      <c r="G12" s="348"/>
    </row>
    <row r="13" spans="1:7" ht="25.5" x14ac:dyDescent="0.2">
      <c r="A13" s="314"/>
      <c r="B13" s="107" t="s">
        <v>56</v>
      </c>
      <c r="C13" s="344" t="s">
        <v>570</v>
      </c>
      <c r="D13" s="2082">
        <f>'D2-new'!AD22</f>
        <v>2958.8055840000002</v>
      </c>
      <c r="E13" s="362"/>
      <c r="F13" s="2083">
        <v>4156.42</v>
      </c>
      <c r="G13" s="314"/>
    </row>
    <row r="14" spans="1:7" ht="25.5" x14ac:dyDescent="0.2">
      <c r="A14" s="306"/>
      <c r="B14" s="107" t="s">
        <v>57</v>
      </c>
      <c r="C14" s="344" t="s">
        <v>571</v>
      </c>
      <c r="D14" s="2082"/>
      <c r="E14" s="363"/>
      <c r="F14" s="2083"/>
      <c r="G14" s="306"/>
    </row>
    <row r="15" spans="1:7" x14ac:dyDescent="0.2">
      <c r="A15" s="310"/>
      <c r="B15" s="311"/>
      <c r="C15" s="310"/>
      <c r="D15" s="334"/>
      <c r="E15" s="311"/>
      <c r="F15" s="312"/>
      <c r="G15" s="310"/>
    </row>
    <row r="16" spans="1:7" ht="15" x14ac:dyDescent="0.25">
      <c r="A16" s="310"/>
      <c r="B16" s="311"/>
      <c r="C16" s="335" t="s">
        <v>43</v>
      </c>
      <c r="D16" s="336">
        <f>D10+D13+D14</f>
        <v>3136.1290446746357</v>
      </c>
      <c r="E16" s="337"/>
      <c r="F16" s="336">
        <f>F10+F13+F14</f>
        <v>4364.46</v>
      </c>
      <c r="G16" s="310"/>
    </row>
    <row r="17" spans="1:7" ht="15" thickBot="1" x14ac:dyDescent="0.25">
      <c r="A17" s="338"/>
      <c r="B17" s="339"/>
      <c r="C17" s="340"/>
      <c r="D17" s="341"/>
      <c r="E17" s="342"/>
      <c r="F17" s="343"/>
      <c r="G17" s="338"/>
    </row>
    <row r="18" spans="1:7" x14ac:dyDescent="0.2">
      <c r="A18" s="310"/>
      <c r="B18" s="311"/>
      <c r="C18" s="310"/>
      <c r="D18" s="334"/>
      <c r="E18" s="311"/>
      <c r="F18" s="312"/>
      <c r="G18" s="310"/>
    </row>
    <row r="19" spans="1:7" ht="53.25" customHeight="1" x14ac:dyDescent="0.25">
      <c r="A19" s="293"/>
      <c r="B19" s="328"/>
      <c r="C19" s="2081"/>
      <c r="D19" s="2081"/>
      <c r="E19" s="2081"/>
      <c r="F19" s="2081"/>
      <c r="G19" s="2081"/>
    </row>
  </sheetData>
  <mergeCells count="13">
    <mergeCell ref="A2:G2"/>
    <mergeCell ref="A5:A8"/>
    <mergeCell ref="B5:B8"/>
    <mergeCell ref="C5:C8"/>
    <mergeCell ref="D5:E5"/>
    <mergeCell ref="F5:G5"/>
    <mergeCell ref="D6:D8"/>
    <mergeCell ref="E6:E8"/>
    <mergeCell ref="F6:F8"/>
    <mergeCell ref="G6:G8"/>
    <mergeCell ref="C19:G19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36" sqref="AB36"/>
    </sheetView>
  </sheetViews>
  <sheetFormatPr defaultRowHeight="12.75" x14ac:dyDescent="0.2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0" sqref="I30"/>
    </sheetView>
  </sheetViews>
  <sheetFormatPr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86"/>
  <sheetViews>
    <sheetView showGridLines="0" topLeftCell="A41" zoomScaleNormal="100" workbookViewId="0">
      <selection activeCell="A2" sqref="A2:J75"/>
    </sheetView>
  </sheetViews>
  <sheetFormatPr defaultRowHeight="12.75" x14ac:dyDescent="0.2"/>
  <cols>
    <col min="1" max="1" width="5.42578125" style="470" customWidth="1"/>
    <col min="2" max="2" width="57.85546875" style="470" customWidth="1"/>
    <col min="3" max="3" width="13" style="470" hidden="1" customWidth="1"/>
    <col min="4" max="4" width="12.140625" style="470" hidden="1" customWidth="1"/>
    <col min="5" max="5" width="10.85546875" style="470" hidden="1" customWidth="1"/>
    <col min="6" max="6" width="11" style="687" hidden="1" customWidth="1"/>
    <col min="7" max="7" width="12.42578125" style="687" hidden="1" customWidth="1"/>
    <col min="8" max="8" width="11.28515625" style="687" bestFit="1" customWidth="1"/>
    <col min="9" max="9" width="12.140625" style="687" bestFit="1" customWidth="1"/>
    <col min="10" max="10" width="11" style="687" customWidth="1"/>
    <col min="11" max="11" width="9.140625" style="687"/>
    <col min="12" max="16384" width="9.140625" style="470"/>
  </cols>
  <sheetData>
    <row r="1" spans="1:11" x14ac:dyDescent="0.2">
      <c r="A1" s="469" t="s">
        <v>499</v>
      </c>
      <c r="B1" s="469"/>
      <c r="C1" s="469"/>
      <c r="D1" s="469"/>
      <c r="E1" s="469"/>
      <c r="F1" s="929"/>
      <c r="G1" s="929"/>
      <c r="H1" s="929"/>
      <c r="I1" s="929"/>
    </row>
    <row r="2" spans="1:11" x14ac:dyDescent="0.2">
      <c r="A2" s="1789" t="s">
        <v>219</v>
      </c>
      <c r="B2" s="1789"/>
      <c r="C2" s="469"/>
      <c r="D2" s="469"/>
      <c r="E2" s="469"/>
      <c r="F2" s="929"/>
      <c r="G2" s="929"/>
      <c r="H2" s="929"/>
      <c r="I2" s="929"/>
    </row>
    <row r="3" spans="1:11" ht="13.5" thickBot="1" x14ac:dyDescent="0.25">
      <c r="A3" s="471"/>
      <c r="B3" s="471"/>
      <c r="C3" s="469"/>
      <c r="D3" s="469"/>
      <c r="E3" s="469"/>
      <c r="F3" s="929"/>
      <c r="G3" s="929"/>
      <c r="H3" s="929"/>
      <c r="I3" s="929"/>
    </row>
    <row r="4" spans="1:11" ht="13.5" thickBot="1" x14ac:dyDescent="0.25">
      <c r="A4" s="471"/>
      <c r="B4" s="453" t="s">
        <v>109</v>
      </c>
      <c r="C4" s="469"/>
      <c r="D4" s="469"/>
      <c r="F4" s="929"/>
      <c r="G4" s="929"/>
      <c r="H4" s="929"/>
      <c r="I4" s="929"/>
    </row>
    <row r="5" spans="1:11" x14ac:dyDescent="0.2">
      <c r="A5" s="469"/>
      <c r="B5" s="469"/>
      <c r="C5" s="469"/>
      <c r="D5" s="469"/>
      <c r="E5" s="469"/>
      <c r="F5" s="929"/>
      <c r="H5" s="469" t="s">
        <v>612</v>
      </c>
      <c r="I5" s="929"/>
      <c r="K5" s="470"/>
    </row>
    <row r="6" spans="1:11" ht="12.75" customHeight="1" x14ac:dyDescent="0.2">
      <c r="A6" s="454" t="s">
        <v>220</v>
      </c>
      <c r="B6" s="456" t="s">
        <v>118</v>
      </c>
      <c r="C6" s="1025"/>
      <c r="D6" s="1025"/>
      <c r="E6" s="1025"/>
      <c r="F6" s="927"/>
      <c r="G6" s="927"/>
      <c r="H6" s="927"/>
      <c r="I6" s="927"/>
      <c r="K6" s="470"/>
    </row>
    <row r="7" spans="1:11" ht="38.25" customHeight="1" x14ac:dyDescent="0.2">
      <c r="A7" s="454"/>
      <c r="B7" s="456"/>
      <c r="C7" s="455" t="s">
        <v>629</v>
      </c>
      <c r="D7" s="455" t="s">
        <v>630</v>
      </c>
      <c r="E7" s="455" t="s">
        <v>631</v>
      </c>
      <c r="F7" s="927" t="s">
        <v>764</v>
      </c>
      <c r="G7" s="927" t="s">
        <v>765</v>
      </c>
      <c r="H7" s="927" t="s">
        <v>873</v>
      </c>
      <c r="I7" s="927" t="s">
        <v>874</v>
      </c>
      <c r="J7" s="927" t="s">
        <v>1178</v>
      </c>
      <c r="K7" s="470"/>
    </row>
    <row r="8" spans="1:11" ht="11.25" customHeight="1" x14ac:dyDescent="0.2">
      <c r="A8" s="454"/>
      <c r="B8" s="456"/>
      <c r="C8" s="1025"/>
      <c r="D8" s="1025"/>
      <c r="E8" s="1025"/>
      <c r="F8" s="927"/>
      <c r="G8" s="927"/>
      <c r="H8" s="1708"/>
      <c r="I8" s="927"/>
      <c r="J8" s="696"/>
      <c r="K8" s="470"/>
    </row>
    <row r="9" spans="1:11" x14ac:dyDescent="0.2">
      <c r="A9" s="472" t="s">
        <v>221</v>
      </c>
      <c r="B9" s="483" t="s">
        <v>222</v>
      </c>
      <c r="C9" s="1025"/>
      <c r="D9" s="1025"/>
      <c r="E9" s="1025"/>
      <c r="F9" s="927"/>
      <c r="G9" s="927"/>
      <c r="H9" s="1708"/>
      <c r="I9" s="927"/>
      <c r="J9" s="696"/>
      <c r="K9" s="470"/>
    </row>
    <row r="10" spans="1:11" x14ac:dyDescent="0.2">
      <c r="A10" s="475">
        <v>1</v>
      </c>
      <c r="B10" s="483" t="s">
        <v>475</v>
      </c>
      <c r="C10" s="1025"/>
      <c r="D10" s="1025"/>
      <c r="E10" s="1025"/>
      <c r="F10" s="927"/>
      <c r="G10" s="927"/>
      <c r="H10" s="1708"/>
      <c r="I10" s="927"/>
      <c r="J10" s="696"/>
      <c r="K10" s="470"/>
    </row>
    <row r="11" spans="1:11" x14ac:dyDescent="0.2">
      <c r="A11" s="1026"/>
      <c r="B11" s="481" t="s">
        <v>551</v>
      </c>
      <c r="C11" s="1027">
        <f>'[5]A-1'!G39</f>
        <v>96.20415000000321</v>
      </c>
      <c r="D11" s="1027">
        <f>'[5]A-1'!H39</f>
        <v>-471.66930048911672</v>
      </c>
      <c r="E11" s="1027" t="e">
        <f>'A-1'!#REF!</f>
        <v>#REF!</v>
      </c>
      <c r="F11" s="1028">
        <f>'A-1'!C38</f>
        <v>364.24184879562017</v>
      </c>
      <c r="G11" s="1028">
        <f>'A-1'!D38</f>
        <v>-1889.2783624593139</v>
      </c>
      <c r="H11" s="1709">
        <f>'A-1'!E38</f>
        <v>-1374.2127144073493</v>
      </c>
      <c r="I11" s="1027">
        <f>'A-1'!F38</f>
        <v>-1118.6975581730985</v>
      </c>
      <c r="J11" s="1027">
        <f>'A-1'!G38</f>
        <v>-1294.2987749954991</v>
      </c>
    </row>
    <row r="12" spans="1:11" x14ac:dyDescent="0.2">
      <c r="A12" s="1026"/>
      <c r="B12" s="953" t="s">
        <v>476</v>
      </c>
      <c r="C12" s="1025"/>
      <c r="D12" s="1025"/>
      <c r="E12" s="1025"/>
      <c r="F12" s="1029"/>
      <c r="G12" s="1029"/>
      <c r="H12" s="1710"/>
      <c r="I12" s="927"/>
      <c r="J12" s="927"/>
    </row>
    <row r="13" spans="1:11" x14ac:dyDescent="0.2">
      <c r="A13" s="1026"/>
      <c r="B13" s="1030" t="s">
        <v>477</v>
      </c>
      <c r="C13" s="1027" t="e">
        <f>'[5]A-1'!G18</f>
        <v>#REF!</v>
      </c>
      <c r="D13" s="1027" t="e">
        <f>'[5]A-1'!H18</f>
        <v>#REF!</v>
      </c>
      <c r="E13" s="1027"/>
      <c r="F13" s="1029"/>
      <c r="G13" s="1029"/>
      <c r="H13" s="1029"/>
      <c r="I13" s="927"/>
      <c r="J13" s="927"/>
    </row>
    <row r="14" spans="1:11" x14ac:dyDescent="0.2">
      <c r="A14" s="475"/>
      <c r="B14" s="1031" t="s">
        <v>315</v>
      </c>
      <c r="C14" s="1027">
        <f>'[5]A-1'!G40</f>
        <v>4.95</v>
      </c>
      <c r="D14" s="1027">
        <f>'[5]A-1'!H40</f>
        <v>25.75</v>
      </c>
      <c r="E14" s="1027" t="e">
        <f>+'A-1'!#REF!</f>
        <v>#REF!</v>
      </c>
      <c r="F14" s="1029"/>
      <c r="G14" s="1029"/>
      <c r="H14" s="1029"/>
      <c r="I14" s="927"/>
      <c r="J14" s="927"/>
    </row>
    <row r="15" spans="1:11" x14ac:dyDescent="0.2">
      <c r="A15" s="475"/>
      <c r="B15" s="1031" t="s">
        <v>265</v>
      </c>
      <c r="C15" s="1027">
        <v>0</v>
      </c>
      <c r="D15" s="1027">
        <v>0</v>
      </c>
      <c r="E15" s="1027">
        <v>0</v>
      </c>
      <c r="F15" s="1029">
        <v>0</v>
      </c>
      <c r="G15" s="1029">
        <v>0</v>
      </c>
      <c r="H15" s="1029"/>
      <c r="I15" s="927"/>
      <c r="J15" s="927"/>
    </row>
    <row r="16" spans="1:11" s="469" customFormat="1" x14ac:dyDescent="0.2">
      <c r="A16" s="473"/>
      <c r="B16" s="474" t="s">
        <v>316</v>
      </c>
      <c r="C16" s="954" t="e">
        <f t="shared" ref="C16:I16" si="0">C11-SUM(C13:C15)</f>
        <v>#REF!</v>
      </c>
      <c r="D16" s="954" t="e">
        <f t="shared" si="0"/>
        <v>#REF!</v>
      </c>
      <c r="E16" s="954" t="e">
        <f t="shared" si="0"/>
        <v>#REF!</v>
      </c>
      <c r="F16" s="1029">
        <f t="shared" si="0"/>
        <v>364.24184879562017</v>
      </c>
      <c r="G16" s="1029">
        <f t="shared" si="0"/>
        <v>-1889.2783624593139</v>
      </c>
      <c r="H16" s="1029">
        <f t="shared" si="0"/>
        <v>-1374.2127144073493</v>
      </c>
      <c r="I16" s="838">
        <f t="shared" si="0"/>
        <v>-1118.6975581730985</v>
      </c>
      <c r="J16" s="838">
        <f>J11-SUM(J13:J15)</f>
        <v>-1294.2987749954991</v>
      </c>
      <c r="K16" s="687"/>
    </row>
    <row r="17" spans="1:11" ht="25.5" x14ac:dyDescent="0.2">
      <c r="A17" s="475"/>
      <c r="B17" s="481" t="s">
        <v>1097</v>
      </c>
      <c r="C17" s="1025"/>
      <c r="D17" s="1025"/>
      <c r="E17" s="1025"/>
      <c r="F17" s="1029"/>
      <c r="G17" s="1029"/>
      <c r="H17" s="1029"/>
      <c r="I17" s="927"/>
      <c r="J17" s="927"/>
    </row>
    <row r="18" spans="1:11" x14ac:dyDescent="0.2">
      <c r="A18" s="475"/>
      <c r="B18" s="953" t="s">
        <v>409</v>
      </c>
      <c r="C18" s="954">
        <f>'[5]A-1'!G27+'[5]D-8'!E28</f>
        <v>248.83769999999998</v>
      </c>
      <c r="D18" s="954">
        <f>'[5]A-1'!H27+'[5]D-8'!H28</f>
        <v>310.28319999999997</v>
      </c>
      <c r="E18" s="954" t="e">
        <f>'A-1'!#REF!</f>
        <v>#REF!</v>
      </c>
      <c r="F18" s="1029">
        <f>'A-1'!C26</f>
        <v>454.75</v>
      </c>
      <c r="G18" s="1029">
        <f>'A-1'!D26</f>
        <v>530.18000000000006</v>
      </c>
      <c r="H18" s="1029">
        <f>'A-1'!E26</f>
        <v>753.5336699770935</v>
      </c>
      <c r="I18" s="1029">
        <f>'A-1'!F26</f>
        <v>777.83351809317742</v>
      </c>
      <c r="J18" s="1029">
        <f>'A-1'!G26</f>
        <v>915.44584298414179</v>
      </c>
    </row>
    <row r="19" spans="1:11" x14ac:dyDescent="0.2">
      <c r="A19" s="475"/>
      <c r="B19" s="483" t="s">
        <v>157</v>
      </c>
      <c r="C19" s="1025"/>
      <c r="D19" s="1025"/>
      <c r="E19" s="1025"/>
      <c r="F19" s="1029"/>
      <c r="G19" s="1029"/>
      <c r="H19" s="1029"/>
      <c r="I19" s="927"/>
      <c r="J19" s="927"/>
    </row>
    <row r="20" spans="1:11" x14ac:dyDescent="0.2">
      <c r="A20" s="475"/>
      <c r="B20" s="481" t="s">
        <v>184</v>
      </c>
      <c r="C20" s="1025"/>
      <c r="D20" s="1025"/>
      <c r="E20" s="1025"/>
      <c r="F20" s="1029"/>
      <c r="G20" s="1029"/>
      <c r="H20" s="1029"/>
      <c r="I20" s="927"/>
      <c r="J20" s="927"/>
    </row>
    <row r="21" spans="1:11" x14ac:dyDescent="0.2">
      <c r="A21" s="475"/>
      <c r="B21" s="481" t="s">
        <v>185</v>
      </c>
      <c r="C21" s="1025"/>
      <c r="D21" s="1025"/>
      <c r="E21" s="1025"/>
      <c r="F21" s="1029"/>
      <c r="G21" s="1029"/>
      <c r="H21" s="1029"/>
      <c r="I21" s="927"/>
      <c r="J21" s="927"/>
    </row>
    <row r="22" spans="1:11" x14ac:dyDescent="0.2">
      <c r="A22" s="475"/>
      <c r="B22" s="481" t="s">
        <v>550</v>
      </c>
      <c r="C22" s="1025"/>
      <c r="D22" s="1025"/>
      <c r="E22" s="1027"/>
      <c r="F22" s="1029"/>
      <c r="G22" s="1029"/>
      <c r="H22" s="1029"/>
      <c r="I22" s="927"/>
      <c r="J22" s="927"/>
    </row>
    <row r="23" spans="1:11" s="469" customFormat="1" x14ac:dyDescent="0.2">
      <c r="A23" s="475"/>
      <c r="B23" s="474" t="s">
        <v>186</v>
      </c>
      <c r="C23" s="484">
        <f t="shared" ref="C23:I23" si="1">SUM(C18:C22)</f>
        <v>248.83769999999998</v>
      </c>
      <c r="D23" s="484">
        <f t="shared" si="1"/>
        <v>310.28319999999997</v>
      </c>
      <c r="E23" s="484" t="e">
        <f t="shared" si="1"/>
        <v>#REF!</v>
      </c>
      <c r="F23" s="1029">
        <f t="shared" si="1"/>
        <v>454.75</v>
      </c>
      <c r="G23" s="1029">
        <f t="shared" si="1"/>
        <v>530.18000000000006</v>
      </c>
      <c r="H23" s="1029">
        <f t="shared" si="1"/>
        <v>753.5336699770935</v>
      </c>
      <c r="I23" s="838">
        <f t="shared" si="1"/>
        <v>777.83351809317742</v>
      </c>
      <c r="J23" s="838">
        <f>SUM(J18:J22)</f>
        <v>915.44584298414179</v>
      </c>
      <c r="K23" s="687"/>
    </row>
    <row r="24" spans="1:11" ht="25.5" x14ac:dyDescent="0.2">
      <c r="A24" s="475"/>
      <c r="B24" s="481" t="s">
        <v>1098</v>
      </c>
      <c r="C24" s="1025"/>
      <c r="D24" s="1025"/>
      <c r="E24" s="1025"/>
      <c r="F24" s="1029"/>
      <c r="G24" s="1029"/>
      <c r="H24" s="1029"/>
      <c r="I24" s="927"/>
      <c r="J24" s="927"/>
    </row>
    <row r="25" spans="1:11" x14ac:dyDescent="0.2">
      <c r="A25" s="475"/>
      <c r="B25" s="481" t="s">
        <v>156</v>
      </c>
      <c r="C25" s="1032">
        <f>'[5]D-8'!E28</f>
        <v>122.65</v>
      </c>
      <c r="D25" s="1032">
        <f>'[5]D-8'!H28</f>
        <v>110.5</v>
      </c>
      <c r="E25" s="1033">
        <v>126.27</v>
      </c>
      <c r="F25" s="1029">
        <f>'D-8'!K29</f>
        <v>143.16999999999999</v>
      </c>
      <c r="G25" s="1029">
        <f>'D-8'!N29</f>
        <v>202.8</v>
      </c>
      <c r="H25" s="1029">
        <f>'D-8'!Q29</f>
        <v>241.21168239000002</v>
      </c>
      <c r="I25" s="1029">
        <f>'D-8'!T29</f>
        <v>202.42897789438365</v>
      </c>
      <c r="J25" s="1029">
        <f>'D-8'!W29</f>
        <v>223.09611644157548</v>
      </c>
    </row>
    <row r="26" spans="1:11" x14ac:dyDescent="0.2">
      <c r="A26" s="475"/>
      <c r="B26" s="481" t="s">
        <v>187</v>
      </c>
      <c r="C26" s="1025"/>
      <c r="D26" s="1025"/>
      <c r="E26" s="1025"/>
      <c r="F26" s="1029"/>
      <c r="G26" s="1029"/>
      <c r="H26" s="1029"/>
      <c r="I26" s="927"/>
      <c r="J26" s="927"/>
    </row>
    <row r="27" spans="1:11" s="469" customFormat="1" x14ac:dyDescent="0.2">
      <c r="A27" s="475"/>
      <c r="B27" s="474" t="s">
        <v>188</v>
      </c>
      <c r="C27" s="954">
        <f t="shared" ref="C27:I27" si="2">SUM(C25:C26)</f>
        <v>122.65</v>
      </c>
      <c r="D27" s="954">
        <f t="shared" si="2"/>
        <v>110.5</v>
      </c>
      <c r="E27" s="954">
        <f t="shared" si="2"/>
        <v>126.27</v>
      </c>
      <c r="F27" s="1029">
        <f t="shared" si="2"/>
        <v>143.16999999999999</v>
      </c>
      <c r="G27" s="1029">
        <f t="shared" si="2"/>
        <v>202.8</v>
      </c>
      <c r="H27" s="1029">
        <f t="shared" si="2"/>
        <v>241.21168239000002</v>
      </c>
      <c r="I27" s="838">
        <f t="shared" si="2"/>
        <v>202.42897789438365</v>
      </c>
      <c r="J27" s="838">
        <f>SUM(J25:J26)</f>
        <v>223.09611644157548</v>
      </c>
      <c r="K27" s="687"/>
    </row>
    <row r="28" spans="1:11" s="469" customFormat="1" x14ac:dyDescent="0.2">
      <c r="A28" s="475"/>
      <c r="B28" s="476" t="s">
        <v>399</v>
      </c>
      <c r="C28" s="484" t="e">
        <f t="shared" ref="C28:I28" si="3">C16+C23-C27</f>
        <v>#REF!</v>
      </c>
      <c r="D28" s="484" t="e">
        <f t="shared" si="3"/>
        <v>#REF!</v>
      </c>
      <c r="E28" s="484" t="e">
        <f t="shared" si="3"/>
        <v>#REF!</v>
      </c>
      <c r="F28" s="1029">
        <f t="shared" si="3"/>
        <v>675.82184879562021</v>
      </c>
      <c r="G28" s="1029">
        <f t="shared" si="3"/>
        <v>-1561.8983624593138</v>
      </c>
      <c r="H28" s="1029">
        <f t="shared" si="3"/>
        <v>-861.89072682025585</v>
      </c>
      <c r="I28" s="838">
        <f t="shared" si="3"/>
        <v>-543.2930179743048</v>
      </c>
      <c r="J28" s="838">
        <f>J16+J23-J27</f>
        <v>-601.94904845293286</v>
      </c>
      <c r="K28" s="687"/>
    </row>
    <row r="29" spans="1:11" ht="25.5" x14ac:dyDescent="0.2">
      <c r="A29" s="475">
        <v>2</v>
      </c>
      <c r="B29" s="960" t="s">
        <v>11</v>
      </c>
      <c r="C29" s="484">
        <f>'[5]A-2'!G20-'[5]A-2'!F20</f>
        <v>710.46</v>
      </c>
      <c r="D29" s="484">
        <f>'[5]A-2'!H20-'[5]A-2'!G20</f>
        <v>293.67000000000007</v>
      </c>
      <c r="E29" s="484">
        <f>'[5]A-2'!I20-'[5]A-2'!H20</f>
        <v>347.83999999999969</v>
      </c>
      <c r="F29" s="1029">
        <f>'A-2 (2)'!K20-'A-2 (2)'!J20</f>
        <v>424</v>
      </c>
      <c r="G29" s="1029">
        <f>'A-2 (2)'!L20-'A-2 (2)'!K20</f>
        <v>609.17000000000007</v>
      </c>
      <c r="H29" s="1029">
        <f>'A-2 (2)'!M20-'A-2 (2)'!L20</f>
        <v>394.91925122199973</v>
      </c>
      <c r="I29" s="1029">
        <f>'A-2 (2)'!N20-'A-2 (2)'!M20</f>
        <v>414.91981221199921</v>
      </c>
      <c r="J29" s="1029">
        <f>'A-2 (2)'!O20-'A-2 (2)'!N20</f>
        <v>434.91453171699959</v>
      </c>
    </row>
    <row r="30" spans="1:11" x14ac:dyDescent="0.2">
      <c r="A30" s="475">
        <v>3</v>
      </c>
      <c r="B30" s="953" t="s">
        <v>12</v>
      </c>
      <c r="C30" s="484">
        <f>'[5]A-2'!G48-'[5]A-2'!F48</f>
        <v>221.78999999999996</v>
      </c>
      <c r="D30" s="484">
        <f>'[5]A-2'!H48-'[5]A-2'!G48</f>
        <v>446.57999999999993</v>
      </c>
      <c r="E30" s="484">
        <f>'[5]A-2'!I48-'[5]A-2'!H48</f>
        <v>425.34000000000015</v>
      </c>
      <c r="F30" s="1029">
        <f>'A-2 (2)'!K48-'A-2 (2)'!J48</f>
        <v>349.88999999999987</v>
      </c>
      <c r="G30" s="1029">
        <f>'A-2 (2)'!L48-'A-2 (2)'!K48</f>
        <v>266.94999999999982</v>
      </c>
      <c r="H30" s="1029">
        <f>'A-2 (2)'!M48-'A-2 (2)'!L48</f>
        <v>342.60000000000036</v>
      </c>
      <c r="I30" s="1029">
        <f>'A-2 (2)'!N48-'A-2 (2)'!M48</f>
        <v>350</v>
      </c>
      <c r="J30" s="1029">
        <f>'A-2 (2)'!O48-'A-2 (2)'!N48</f>
        <v>350</v>
      </c>
    </row>
    <row r="31" spans="1:11" x14ac:dyDescent="0.2">
      <c r="A31" s="475">
        <v>4</v>
      </c>
      <c r="B31" s="483" t="s">
        <v>13</v>
      </c>
      <c r="C31" s="1025"/>
      <c r="D31" s="1025"/>
      <c r="E31" s="1025"/>
      <c r="F31" s="1029"/>
      <c r="G31" s="1029"/>
      <c r="H31" s="1029"/>
      <c r="I31" s="927"/>
      <c r="J31" s="927"/>
    </row>
    <row r="32" spans="1:11" x14ac:dyDescent="0.2">
      <c r="A32" s="475">
        <v>5</v>
      </c>
      <c r="B32" s="481" t="s">
        <v>14</v>
      </c>
      <c r="C32" s="484" t="e">
        <f t="shared" ref="C32:I32" si="4">C28+C29+C30+C31</f>
        <v>#REF!</v>
      </c>
      <c r="D32" s="484" t="e">
        <f t="shared" si="4"/>
        <v>#REF!</v>
      </c>
      <c r="E32" s="484" t="e">
        <f t="shared" si="4"/>
        <v>#REF!</v>
      </c>
      <c r="F32" s="1029">
        <f t="shared" si="4"/>
        <v>1449.71184879562</v>
      </c>
      <c r="G32" s="1029">
        <f t="shared" si="4"/>
        <v>-685.77836245931394</v>
      </c>
      <c r="H32" s="1029">
        <f t="shared" si="4"/>
        <v>-124.37147559825576</v>
      </c>
      <c r="I32" s="838">
        <f t="shared" si="4"/>
        <v>221.62679423769441</v>
      </c>
      <c r="J32" s="838">
        <f>J28+J29+J30+J31</f>
        <v>182.96548326406673</v>
      </c>
    </row>
    <row r="33" spans="1:11" x14ac:dyDescent="0.2">
      <c r="A33" s="475">
        <v>6</v>
      </c>
      <c r="B33" s="483" t="s">
        <v>473</v>
      </c>
      <c r="C33" s="1025"/>
      <c r="D33" s="1025"/>
      <c r="E33" s="1025"/>
      <c r="F33" s="1029"/>
      <c r="G33" s="1029"/>
      <c r="H33" s="1029"/>
      <c r="I33" s="927"/>
      <c r="J33" s="927"/>
    </row>
    <row r="34" spans="1:11" x14ac:dyDescent="0.2">
      <c r="A34" s="475"/>
      <c r="B34" s="483" t="s">
        <v>1099</v>
      </c>
      <c r="C34" s="1025"/>
      <c r="D34" s="1025"/>
      <c r="E34" s="1025"/>
      <c r="F34" s="1029"/>
      <c r="G34" s="1029"/>
      <c r="H34" s="1029"/>
      <c r="I34" s="927"/>
      <c r="J34" s="927"/>
    </row>
    <row r="35" spans="1:11" x14ac:dyDescent="0.2">
      <c r="A35" s="475"/>
      <c r="B35" s="953" t="s">
        <v>474</v>
      </c>
      <c r="C35" s="954">
        <f>'[5]A-2'!G41-'[5]A-2'!F41+('[5]A-2'!G30-'[5]A-2'!F30)</f>
        <v>65.55</v>
      </c>
      <c r="D35" s="954">
        <f>'[5]A-2'!H41-'[5]A-2'!G41+('[5]A-2'!H30-'[5]A-2'!G30)</f>
        <v>95.830000000000013</v>
      </c>
      <c r="E35" s="954">
        <f>'[5]A-2'!I41-'[5]A-2'!H41+('[5]A-2'!I30-'[5]A-2'!H30)</f>
        <v>-65.960000000000008</v>
      </c>
      <c r="F35" s="1029">
        <f>'A-2 (2)'!K41-'A-2 (2)'!J41+'A-2 (2)'!K30-'A-2 (2)'!J30</f>
        <v>39.259999999999991</v>
      </c>
      <c r="G35" s="1029">
        <f>'A-2 (2)'!L41-'A-2 (2)'!K41+'A-2 (2)'!L30-'A-2 (2)'!K30</f>
        <v>22.740000000000009</v>
      </c>
      <c r="H35" s="1029">
        <f>'A-2 (2)'!M41-'A-2 (2)'!L41+'A-2 (2)'!M30-'A-2 (2)'!L30</f>
        <v>22.759999999999991</v>
      </c>
      <c r="I35" s="1029">
        <f>'A-2 (2)'!N41-'A-2 (2)'!M41+'A-2 (2)'!N30-'A-2 (2)'!M30</f>
        <v>12.061499999999995</v>
      </c>
      <c r="J35" s="1029">
        <f>'A-2 (2)'!O41-'A-2 (2)'!N41+'A-2 (2)'!O30-'A-2 (2)'!N30</f>
        <v>12.664575000000013</v>
      </c>
    </row>
    <row r="36" spans="1:11" x14ac:dyDescent="0.2">
      <c r="A36" s="475"/>
      <c r="B36" s="481" t="s">
        <v>447</v>
      </c>
      <c r="C36" s="954">
        <f>'[5]A-2'!G42-'[5]A-2'!F42</f>
        <v>1164.8900000000003</v>
      </c>
      <c r="D36" s="954">
        <f>'[5]A-2'!H42-'[5]A-2'!G42</f>
        <v>-1521.58</v>
      </c>
      <c r="E36" s="954">
        <f>'A-2 (2)'!I42-'A-2 (2)'!H42</f>
        <v>1288.6599999999999</v>
      </c>
      <c r="F36" s="1029">
        <f>'A-2 (2)'!K42-'A-2 (2)'!J42</f>
        <v>-1087.9500000000007</v>
      </c>
      <c r="G36" s="1029">
        <f>'A-2 (2)'!L42-'A-2 (2)'!K42</f>
        <v>1104.2000000000007</v>
      </c>
      <c r="H36" s="1029">
        <f>'A-2 (2)'!M42-'A-2 (2)'!L42</f>
        <v>1330.3500000000004</v>
      </c>
      <c r="I36" s="1029">
        <f>'A-2 (2)'!N42-'A-2 (2)'!M42</f>
        <v>387.34972667230977</v>
      </c>
      <c r="J36" s="1029">
        <f>'A-2 (2)'!O42-'A-2 (2)'!N42</f>
        <v>418.1144888868821</v>
      </c>
    </row>
    <row r="37" spans="1:11" x14ac:dyDescent="0.2">
      <c r="A37" s="475"/>
      <c r="B37" s="953" t="s">
        <v>448</v>
      </c>
      <c r="C37" s="954">
        <f>'[5]A-2'!G44-'[5]A-2'!F44</f>
        <v>138.54999999999995</v>
      </c>
      <c r="D37" s="954">
        <f>'[5]A-2'!H44-'[5]A-2'!G44</f>
        <v>-13.689999999999941</v>
      </c>
      <c r="E37" s="954">
        <f>'A-2 (2)'!I44-'A-2 (2)'!H44</f>
        <v>147.88999999999999</v>
      </c>
      <c r="F37" s="1029">
        <f>'A-2 (2)'!K44-'A-2 (2)'!J44</f>
        <v>218.98000000000002</v>
      </c>
      <c r="G37" s="1029">
        <f>'A-2 (2)'!L44-'A-2 (2)'!K44</f>
        <v>33.259999999999991</v>
      </c>
      <c r="H37" s="1029">
        <f>'A-2 (2)'!M44-'A-2 (2)'!L44</f>
        <v>-144.20000000000005</v>
      </c>
      <c r="I37" s="1029">
        <f>'A-2 (2)'!N44-'A-2 (2)'!M44</f>
        <v>66.249000000000024</v>
      </c>
      <c r="J37" s="1029">
        <f>'A-2 (2)'!O44-'A-2 (2)'!N44</f>
        <v>69.561449999999923</v>
      </c>
    </row>
    <row r="38" spans="1:11" x14ac:dyDescent="0.2">
      <c r="A38" s="475"/>
      <c r="B38" s="953" t="s">
        <v>449</v>
      </c>
      <c r="C38" s="954">
        <f>'[5]A-2'!G45-'[5]A-2'!F45</f>
        <v>8.1399999999999864</v>
      </c>
      <c r="D38" s="954">
        <f>'[5]A-2'!H45-'[5]A-2'!G45</f>
        <v>2159.4700000000003</v>
      </c>
      <c r="E38" s="954">
        <f>'A-2 (2)'!I45-'A-2 (2)'!H45</f>
        <v>-572.21</v>
      </c>
      <c r="F38" s="1029">
        <f>'A-2 (2)'!K45-'A-2 (2)'!J45</f>
        <v>465.4699999999998</v>
      </c>
      <c r="G38" s="1029">
        <f>'A-2 (2)'!L45-'A-2 (2)'!K45</f>
        <v>1363.6400000000003</v>
      </c>
      <c r="H38" s="1029">
        <f>'A-2 (2)'!M45-'A-2 (2)'!L45</f>
        <v>-864.68000000000029</v>
      </c>
      <c r="I38" s="1029">
        <f>'A-2 (2)'!N45-'A-2 (2)'!M45</f>
        <v>382.5</v>
      </c>
      <c r="J38" s="1029">
        <f>'A-2 (2)'!O45-'A-2 (2)'!N45</f>
        <v>257.14000000000033</v>
      </c>
    </row>
    <row r="39" spans="1:11" s="469" customFormat="1" x14ac:dyDescent="0.2">
      <c r="A39" s="475"/>
      <c r="B39" s="476" t="s">
        <v>450</v>
      </c>
      <c r="C39" s="954">
        <f t="shared" ref="C39:I39" si="5">SUM(C35:C38)</f>
        <v>1377.13</v>
      </c>
      <c r="D39" s="954">
        <f t="shared" si="5"/>
        <v>720.0300000000002</v>
      </c>
      <c r="E39" s="954">
        <f t="shared" si="5"/>
        <v>798.37999999999965</v>
      </c>
      <c r="F39" s="1029">
        <f t="shared" si="5"/>
        <v>-364.24000000000092</v>
      </c>
      <c r="G39" s="1029">
        <f t="shared" si="5"/>
        <v>2523.8400000000011</v>
      </c>
      <c r="H39" s="1029">
        <f t="shared" si="5"/>
        <v>344.23</v>
      </c>
      <c r="I39" s="1029">
        <f t="shared" si="5"/>
        <v>848.16022667230982</v>
      </c>
      <c r="J39" s="1029">
        <f>SUM(J35:J38)</f>
        <v>757.48051388688236</v>
      </c>
      <c r="K39" s="687"/>
    </row>
    <row r="40" spans="1:11" x14ac:dyDescent="0.2">
      <c r="A40" s="475"/>
      <c r="B40" s="483" t="s">
        <v>1100</v>
      </c>
      <c r="C40" s="1034"/>
      <c r="D40" s="1034"/>
      <c r="E40" s="1034"/>
      <c r="F40" s="1029"/>
      <c r="G40" s="1029"/>
      <c r="H40" s="1029"/>
      <c r="I40" s="927"/>
      <c r="J40" s="927"/>
    </row>
    <row r="41" spans="1:11" x14ac:dyDescent="0.2">
      <c r="A41" s="475"/>
      <c r="B41" s="953" t="s">
        <v>451</v>
      </c>
      <c r="C41" s="954">
        <f>'[5]A-2'!G17-'[5]A-2'!F17</f>
        <v>-1126.48</v>
      </c>
      <c r="D41" s="954">
        <f>-350</f>
        <v>-350</v>
      </c>
      <c r="E41" s="1035">
        <f>'A-2 (2)'!I49-'A-2 (2)'!H49</f>
        <v>854.48000000000047</v>
      </c>
      <c r="F41" s="1036">
        <f>'A-2 (2)'!K49-'A-2 (2)'!J49</f>
        <v>-17.069999999999254</v>
      </c>
      <c r="G41" s="1036">
        <f>'A-2 (2)'!L49-'A-2 (2)'!K49</f>
        <v>188.69999999999982</v>
      </c>
      <c r="H41" s="1036">
        <f>'A-2 (2)'!M49-'A-2 (2)'!L49</f>
        <v>882.58999999999924</v>
      </c>
      <c r="I41" s="1036">
        <f>'A-2 (2)'!N49-'A-2 (2)'!M49</f>
        <v>-366.33999999999924</v>
      </c>
      <c r="J41" s="1036">
        <f>'A-2 (2)'!O49-'A-2 (2)'!N49</f>
        <v>-286.78999999999996</v>
      </c>
    </row>
    <row r="42" spans="1:11" x14ac:dyDescent="0.2">
      <c r="A42" s="475"/>
      <c r="B42" s="953" t="s">
        <v>500</v>
      </c>
      <c r="C42" s="959">
        <f>'[5]A-2'!G51-'[5]A-2'!F51</f>
        <v>589.34999999999991</v>
      </c>
      <c r="D42" s="959">
        <f>'[5]A-2'!H51-'[5]A-2'!G51</f>
        <v>442.90000000000009</v>
      </c>
      <c r="E42" s="959">
        <f>'A-2 (2)'!I51-'A-2 (2)'!H51</f>
        <v>-642.02</v>
      </c>
      <c r="F42" s="1037">
        <f>'A-2 (2)'!K51-'A-2 (2)'!J51</f>
        <v>-1092.6499999999996</v>
      </c>
      <c r="G42" s="1037">
        <f>'A-2 (2)'!L51-'A-2 (2)'!K51</f>
        <v>2692.9</v>
      </c>
      <c r="H42" s="1037">
        <f>'A-2 (2)'!M51-'A-2 (2)'!L51</f>
        <v>632.61200000000008</v>
      </c>
      <c r="I42" s="1037">
        <f>'A-2 (2)'!N51-'A-2 (2)'!M51</f>
        <v>-1553.07585064658</v>
      </c>
      <c r="J42" s="1037">
        <f>'A-2 (2)'!O51-'A-2 (2)'!N51</f>
        <v>983.82471672880911</v>
      </c>
    </row>
    <row r="43" spans="1:11" x14ac:dyDescent="0.2">
      <c r="A43" s="475"/>
      <c r="B43" s="953" t="s">
        <v>501</v>
      </c>
      <c r="C43" s="954" t="e">
        <f>(+'[5]A-2'!G50+'[5]A-2'!G51+'[5]A-2'!G52+'[5]A-2'!G53)-(+'[5]A-2'!F50+'[5]A-2'!F51+'[5]A-2'!F52+'[5]A-2'!F53)</f>
        <v>#REF!</v>
      </c>
      <c r="D43" s="954" t="e">
        <f>(+'[5]A-2'!H50+'[5]A-2'!H51+'[5]A-2'!H52+'[5]A-2'!H53)-(+'[5]A-2'!G50+'[5]A-2'!G51+'[5]A-2'!G52+'[5]A-2'!G53)</f>
        <v>#REF!</v>
      </c>
      <c r="E43" s="954">
        <v>-712.95463589426697</v>
      </c>
      <c r="F43" s="1036">
        <v>-1072.1201111088801</v>
      </c>
      <c r="G43" s="1036">
        <v>-8.0503981278339207</v>
      </c>
      <c r="H43" s="1038">
        <v>-2238.8142760617402</v>
      </c>
      <c r="I43" s="1038">
        <v>-142.62741559080601</v>
      </c>
      <c r="J43" s="1038">
        <f>-1515.3247922727-114.9</f>
        <v>-1630.2247922727001</v>
      </c>
    </row>
    <row r="44" spans="1:11" s="469" customFormat="1" x14ac:dyDescent="0.2">
      <c r="A44" s="475"/>
      <c r="B44" s="476" t="s">
        <v>502</v>
      </c>
      <c r="C44" s="954" t="e">
        <f t="shared" ref="C44:I44" si="6">SUM(C41:C43)</f>
        <v>#REF!</v>
      </c>
      <c r="D44" s="954" t="e">
        <f t="shared" si="6"/>
        <v>#REF!</v>
      </c>
      <c r="E44" s="954">
        <f t="shared" si="6"/>
        <v>-500.49463589426648</v>
      </c>
      <c r="F44" s="1029">
        <f t="shared" si="6"/>
        <v>-2181.8401111088788</v>
      </c>
      <c r="G44" s="1029">
        <f t="shared" si="6"/>
        <v>2873.549601872166</v>
      </c>
      <c r="H44" s="1029">
        <f t="shared" si="6"/>
        <v>-723.61227606174089</v>
      </c>
      <c r="I44" s="1029">
        <f t="shared" si="6"/>
        <v>-2062.0432662373851</v>
      </c>
      <c r="J44" s="1029">
        <f>SUM(J41:J43)</f>
        <v>-933.190075543891</v>
      </c>
      <c r="K44" s="687"/>
    </row>
    <row r="45" spans="1:11" s="469" customFormat="1" x14ac:dyDescent="0.2">
      <c r="A45" s="475"/>
      <c r="B45" s="474" t="s">
        <v>503</v>
      </c>
      <c r="C45" s="955" t="e">
        <f t="shared" ref="C45:I45" si="7">C39-C44</f>
        <v>#REF!</v>
      </c>
      <c r="D45" s="955" t="e">
        <f t="shared" si="7"/>
        <v>#REF!</v>
      </c>
      <c r="E45" s="955">
        <f t="shared" si="7"/>
        <v>1298.8746358942662</v>
      </c>
      <c r="F45" s="1029">
        <f t="shared" si="7"/>
        <v>1817.6001111088779</v>
      </c>
      <c r="G45" s="1029">
        <f t="shared" si="7"/>
        <v>-349.70960187216497</v>
      </c>
      <c r="H45" s="1029">
        <f t="shared" si="7"/>
        <v>1067.8422760617409</v>
      </c>
      <c r="I45" s="838">
        <f t="shared" si="7"/>
        <v>2910.2034929096949</v>
      </c>
      <c r="J45" s="838">
        <f>J39-J44</f>
        <v>1690.6705894307734</v>
      </c>
      <c r="K45" s="687"/>
    </row>
    <row r="46" spans="1:11" x14ac:dyDescent="0.2">
      <c r="A46" s="1039">
        <v>7</v>
      </c>
      <c r="B46" s="953" t="s">
        <v>262</v>
      </c>
      <c r="C46" s="955" t="e">
        <f t="shared" ref="C46:I46" si="8">C32-C45</f>
        <v>#REF!</v>
      </c>
      <c r="D46" s="955" t="e">
        <f t="shared" si="8"/>
        <v>#REF!</v>
      </c>
      <c r="E46" s="956" t="e">
        <f t="shared" si="8"/>
        <v>#REF!</v>
      </c>
      <c r="F46" s="1029">
        <f t="shared" si="8"/>
        <v>-367.88826231325788</v>
      </c>
      <c r="G46" s="1029">
        <f t="shared" si="8"/>
        <v>-336.06876058714897</v>
      </c>
      <c r="H46" s="1029">
        <f t="shared" si="8"/>
        <v>-1192.2137516599967</v>
      </c>
      <c r="I46" s="838">
        <f t="shared" si="8"/>
        <v>-2688.5766986720005</v>
      </c>
      <c r="J46" s="838">
        <f>J32-J45</f>
        <v>-1507.7051061667066</v>
      </c>
    </row>
    <row r="47" spans="1:11" x14ac:dyDescent="0.2">
      <c r="A47" s="1039">
        <v>8</v>
      </c>
      <c r="B47" s="481" t="s">
        <v>306</v>
      </c>
      <c r="C47" s="955"/>
      <c r="D47" s="955"/>
      <c r="E47" s="956"/>
      <c r="F47" s="1029"/>
      <c r="G47" s="1029"/>
      <c r="H47" s="1029"/>
      <c r="I47" s="927"/>
      <c r="J47" s="927"/>
    </row>
    <row r="48" spans="1:11" x14ac:dyDescent="0.2">
      <c r="A48" s="477" t="s">
        <v>307</v>
      </c>
      <c r="B48" s="953" t="s">
        <v>531</v>
      </c>
      <c r="C48" s="955" t="e">
        <f t="shared" ref="C48:I48" si="9">SUM(C46:C47)</f>
        <v>#REF!</v>
      </c>
      <c r="D48" s="955" t="e">
        <f t="shared" si="9"/>
        <v>#REF!</v>
      </c>
      <c r="E48" s="956" t="e">
        <f t="shared" si="9"/>
        <v>#REF!</v>
      </c>
      <c r="F48" s="1029">
        <f t="shared" si="9"/>
        <v>-367.88826231325788</v>
      </c>
      <c r="G48" s="1029">
        <f t="shared" si="9"/>
        <v>-336.06876058714897</v>
      </c>
      <c r="H48" s="1029">
        <f t="shared" si="9"/>
        <v>-1192.2137516599967</v>
      </c>
      <c r="I48" s="838">
        <f t="shared" si="9"/>
        <v>-2688.5766986720005</v>
      </c>
      <c r="J48" s="838">
        <f>SUM(J46:J47)</f>
        <v>-1507.7051061667066</v>
      </c>
    </row>
    <row r="49" spans="1:11" x14ac:dyDescent="0.2">
      <c r="A49" s="478" t="s">
        <v>532</v>
      </c>
      <c r="B49" s="481" t="s">
        <v>271</v>
      </c>
      <c r="C49" s="1034"/>
      <c r="D49" s="1034"/>
      <c r="E49" s="1040"/>
      <c r="F49" s="1029"/>
      <c r="G49" s="1029"/>
      <c r="H49" s="1029"/>
      <c r="I49" s="927"/>
      <c r="J49" s="927"/>
    </row>
    <row r="50" spans="1:11" x14ac:dyDescent="0.2">
      <c r="A50" s="475"/>
      <c r="B50" s="957" t="s">
        <v>1101</v>
      </c>
      <c r="C50" s="1034"/>
      <c r="D50" s="1034"/>
      <c r="E50" s="1040"/>
      <c r="F50" s="1029"/>
      <c r="G50" s="1029"/>
      <c r="H50" s="1029"/>
      <c r="I50" s="927"/>
      <c r="J50" s="927"/>
    </row>
    <row r="51" spans="1:11" x14ac:dyDescent="0.2">
      <c r="A51" s="475"/>
      <c r="B51" s="953" t="s">
        <v>272</v>
      </c>
      <c r="C51" s="959"/>
      <c r="D51" s="959"/>
      <c r="E51" s="1041"/>
      <c r="F51" s="1029"/>
      <c r="G51" s="1029"/>
      <c r="H51" s="1029"/>
      <c r="I51" s="927"/>
      <c r="J51" s="927"/>
    </row>
    <row r="52" spans="1:11" x14ac:dyDescent="0.2">
      <c r="A52" s="475"/>
      <c r="B52" s="481" t="s">
        <v>199</v>
      </c>
      <c r="C52" s="1034"/>
      <c r="D52" s="1034"/>
      <c r="E52" s="1040"/>
      <c r="F52" s="1029"/>
      <c r="G52" s="1029"/>
      <c r="H52" s="1029"/>
      <c r="I52" s="927"/>
      <c r="J52" s="927"/>
    </row>
    <row r="53" spans="1:11" x14ac:dyDescent="0.2">
      <c r="A53" s="475"/>
      <c r="B53" s="953" t="s">
        <v>513</v>
      </c>
      <c r="C53" s="955">
        <f>'[5]D-9'!F32</f>
        <v>124.98</v>
      </c>
      <c r="D53" s="1032">
        <f>'[5]D-9'!L32</f>
        <v>339.59</v>
      </c>
      <c r="E53" s="956">
        <f>'A-2 (2)'!I19-'A-2 (2)'!H19</f>
        <v>632.69999999999982</v>
      </c>
      <c r="F53" s="1029">
        <f>'A-2 (2)'!K19-'A-2 (2)'!J19</f>
        <v>216.14000000000033</v>
      </c>
      <c r="G53" s="1029">
        <f>'A-2 (2)'!L19-'A-2 (2)'!K19</f>
        <v>365.27363239999977</v>
      </c>
      <c r="H53" s="1029">
        <f>'A-2 (2)'!M19-'A-2 (2)'!L19</f>
        <v>1137.4340000000002</v>
      </c>
      <c r="I53" s="1029">
        <f>'A-2 (2)'!N19-'A-2 (2)'!M19</f>
        <v>2692.2599999999993</v>
      </c>
      <c r="J53" s="1029">
        <f>'A-2 (2)'!O19-'A-2 (2)'!N19</f>
        <v>1511.8700000000008</v>
      </c>
    </row>
    <row r="54" spans="1:11" s="469" customFormat="1" x14ac:dyDescent="0.2">
      <c r="A54" s="473"/>
      <c r="B54" s="476" t="s">
        <v>316</v>
      </c>
      <c r="C54" s="484">
        <f t="shared" ref="C54:I54" si="10">SUM(C51:C53)</f>
        <v>124.98</v>
      </c>
      <c r="D54" s="484">
        <f t="shared" si="10"/>
        <v>339.59</v>
      </c>
      <c r="E54" s="958">
        <f t="shared" si="10"/>
        <v>632.69999999999982</v>
      </c>
      <c r="F54" s="1029">
        <f t="shared" si="10"/>
        <v>216.14000000000033</v>
      </c>
      <c r="G54" s="1029">
        <f t="shared" si="10"/>
        <v>365.27363239999977</v>
      </c>
      <c r="H54" s="1029">
        <f t="shared" si="10"/>
        <v>1137.4340000000002</v>
      </c>
      <c r="I54" s="927">
        <f t="shared" si="10"/>
        <v>2692.2599999999993</v>
      </c>
      <c r="J54" s="927">
        <f>SUM(J51:J53)</f>
        <v>1511.8700000000008</v>
      </c>
      <c r="K54" s="687"/>
    </row>
    <row r="55" spans="1:11" x14ac:dyDescent="0.2">
      <c r="A55" s="475"/>
      <c r="B55" s="953" t="s">
        <v>1102</v>
      </c>
      <c r="C55" s="1042"/>
      <c r="D55" s="1042"/>
      <c r="E55" s="1042"/>
      <c r="F55" s="927"/>
      <c r="G55" s="927"/>
      <c r="H55" s="927"/>
      <c r="I55" s="927"/>
      <c r="J55" s="927"/>
    </row>
    <row r="56" spans="1:11" x14ac:dyDescent="0.2">
      <c r="A56" s="475"/>
      <c r="B56" s="1031" t="s">
        <v>514</v>
      </c>
      <c r="C56" s="1042"/>
      <c r="D56" s="1042"/>
      <c r="E56" s="1042"/>
      <c r="F56" s="927"/>
      <c r="G56" s="927"/>
      <c r="H56" s="927"/>
      <c r="I56" s="927"/>
      <c r="J56" s="927"/>
    </row>
    <row r="57" spans="1:11" x14ac:dyDescent="0.2">
      <c r="A57" s="475"/>
      <c r="B57" s="1043" t="s">
        <v>272</v>
      </c>
      <c r="C57" s="959"/>
      <c r="D57" s="959"/>
      <c r="E57" s="959"/>
      <c r="F57" s="927"/>
      <c r="G57" s="927"/>
      <c r="H57" s="927"/>
      <c r="I57" s="927"/>
      <c r="J57" s="927"/>
    </row>
    <row r="58" spans="1:11" x14ac:dyDescent="0.2">
      <c r="A58" s="475"/>
      <c r="B58" s="1043" t="s">
        <v>199</v>
      </c>
      <c r="C58" s="1044"/>
      <c r="D58" s="1044"/>
      <c r="E58" s="1042"/>
      <c r="F58" s="927"/>
      <c r="G58" s="927"/>
      <c r="H58" s="927"/>
      <c r="I58" s="927"/>
      <c r="J58" s="927"/>
    </row>
    <row r="59" spans="1:11" x14ac:dyDescent="0.2">
      <c r="A59" s="475"/>
      <c r="B59" s="1043" t="s">
        <v>513</v>
      </c>
      <c r="C59" s="959">
        <f>'[5]D-9'!H35</f>
        <v>54.9</v>
      </c>
      <c r="D59" s="959">
        <f>'[5]D-9'!N35</f>
        <v>181.28</v>
      </c>
      <c r="E59" s="959"/>
      <c r="F59" s="927"/>
      <c r="G59" s="927"/>
      <c r="H59" s="927"/>
      <c r="I59" s="927"/>
      <c r="J59" s="927"/>
    </row>
    <row r="60" spans="1:11" x14ac:dyDescent="0.2">
      <c r="A60" s="475"/>
      <c r="B60" s="476"/>
      <c r="C60" s="1042"/>
      <c r="D60" s="1042"/>
      <c r="E60" s="1042"/>
      <c r="F60" s="927"/>
      <c r="G60" s="927"/>
      <c r="H60" s="927"/>
      <c r="I60" s="927"/>
      <c r="J60" s="927"/>
    </row>
    <row r="61" spans="1:11" s="469" customFormat="1" x14ac:dyDescent="0.2">
      <c r="A61" s="479"/>
      <c r="B61" s="476" t="s">
        <v>515</v>
      </c>
      <c r="C61" s="484">
        <f t="shared" ref="C61:I61" si="11">SUM(C57:C60)</f>
        <v>54.9</v>
      </c>
      <c r="D61" s="484">
        <f t="shared" si="11"/>
        <v>181.28</v>
      </c>
      <c r="E61" s="484">
        <f t="shared" si="11"/>
        <v>0</v>
      </c>
      <c r="F61" s="927">
        <f t="shared" si="11"/>
        <v>0</v>
      </c>
      <c r="G61" s="927">
        <f t="shared" si="11"/>
        <v>0</v>
      </c>
      <c r="H61" s="927">
        <f t="shared" si="11"/>
        <v>0</v>
      </c>
      <c r="I61" s="927">
        <f t="shared" si="11"/>
        <v>0</v>
      </c>
      <c r="J61" s="927">
        <f>SUM(J57:J60)</f>
        <v>0</v>
      </c>
      <c r="K61" s="687"/>
    </row>
    <row r="62" spans="1:11" s="469" customFormat="1" x14ac:dyDescent="0.2">
      <c r="A62" s="480"/>
      <c r="B62" s="481" t="s">
        <v>516</v>
      </c>
      <c r="C62" s="484">
        <f t="shared" ref="C62:I62" si="12">C54-C61</f>
        <v>70.080000000000013</v>
      </c>
      <c r="D62" s="484">
        <f t="shared" si="12"/>
        <v>158.30999999999997</v>
      </c>
      <c r="E62" s="484">
        <f t="shared" si="12"/>
        <v>632.69999999999982</v>
      </c>
      <c r="F62" s="927">
        <f t="shared" si="12"/>
        <v>216.14000000000033</v>
      </c>
      <c r="G62" s="838">
        <f t="shared" si="12"/>
        <v>365.27363239999977</v>
      </c>
      <c r="H62" s="838">
        <f t="shared" si="12"/>
        <v>1137.4340000000002</v>
      </c>
      <c r="I62" s="927">
        <f t="shared" si="12"/>
        <v>2692.2599999999993</v>
      </c>
      <c r="J62" s="927">
        <f>J54-J61</f>
        <v>1511.8700000000008</v>
      </c>
      <c r="K62" s="687"/>
    </row>
    <row r="63" spans="1:11" x14ac:dyDescent="0.2">
      <c r="A63" s="478" t="s">
        <v>517</v>
      </c>
      <c r="B63" s="481" t="s">
        <v>518</v>
      </c>
      <c r="C63" s="959"/>
      <c r="D63" s="959"/>
      <c r="E63" s="959"/>
      <c r="F63" s="927"/>
      <c r="G63" s="927"/>
      <c r="H63" s="927"/>
      <c r="I63" s="927"/>
      <c r="J63" s="927"/>
    </row>
    <row r="64" spans="1:11" s="469" customFormat="1" x14ac:dyDescent="0.2">
      <c r="A64" s="478" t="s">
        <v>519</v>
      </c>
      <c r="B64" s="960" t="s">
        <v>150</v>
      </c>
      <c r="C64" s="484" t="e">
        <f t="shared" ref="C64:I64" si="13">C48+C62+C63</f>
        <v>#REF!</v>
      </c>
      <c r="D64" s="484" t="e">
        <f t="shared" si="13"/>
        <v>#REF!</v>
      </c>
      <c r="E64" s="484" t="e">
        <f t="shared" si="13"/>
        <v>#REF!</v>
      </c>
      <c r="F64" s="838">
        <f t="shared" si="13"/>
        <v>-151.74826231325756</v>
      </c>
      <c r="G64" s="838">
        <f>G48+G62+G63</f>
        <v>29.204871812850797</v>
      </c>
      <c r="H64" s="838">
        <f t="shared" si="13"/>
        <v>-54.779751659996464</v>
      </c>
      <c r="I64" s="838">
        <f t="shared" si="13"/>
        <v>3.6833013279988336</v>
      </c>
      <c r="J64" s="838">
        <f>J48+J62+J63</f>
        <v>4.1648938332941725</v>
      </c>
      <c r="K64" s="687"/>
    </row>
    <row r="65" spans="1:18" x14ac:dyDescent="0.2">
      <c r="A65" s="478" t="s">
        <v>151</v>
      </c>
      <c r="B65" s="953" t="s">
        <v>591</v>
      </c>
      <c r="C65" s="1034"/>
      <c r="D65" s="1034"/>
      <c r="E65" s="1034"/>
      <c r="F65" s="927"/>
      <c r="G65" s="927"/>
      <c r="H65" s="927"/>
      <c r="I65" s="927"/>
      <c r="J65" s="927"/>
    </row>
    <row r="66" spans="1:18" x14ac:dyDescent="0.2">
      <c r="A66" s="475"/>
      <c r="B66" s="953" t="s">
        <v>416</v>
      </c>
      <c r="C66" s="1042">
        <f>'[5]D-17'!B12</f>
        <v>1173.8999999999999</v>
      </c>
      <c r="D66" s="1042">
        <f>'[5]D-17'!C12</f>
        <v>1782.85</v>
      </c>
      <c r="E66" s="1042"/>
      <c r="F66" s="927"/>
      <c r="G66" s="927"/>
      <c r="H66" s="927"/>
      <c r="I66" s="927"/>
      <c r="J66" s="927"/>
    </row>
    <row r="67" spans="1:18" x14ac:dyDescent="0.2">
      <c r="A67" s="475"/>
      <c r="B67" s="953" t="s">
        <v>342</v>
      </c>
      <c r="C67" s="1045">
        <f>'[5]D-15'!E29</f>
        <v>206.54999999999998</v>
      </c>
      <c r="D67" s="1045">
        <f>'[5]D-15'!H29</f>
        <v>175.91000000000003</v>
      </c>
      <c r="E67" s="1045"/>
      <c r="F67" s="927"/>
      <c r="G67" s="927"/>
      <c r="H67" s="927"/>
      <c r="I67" s="927"/>
      <c r="J67" s="927"/>
    </row>
    <row r="68" spans="1:18" x14ac:dyDescent="0.2">
      <c r="A68" s="475"/>
      <c r="B68" s="953" t="s">
        <v>417</v>
      </c>
      <c r="C68" s="1034">
        <v>2.12</v>
      </c>
      <c r="D68" s="1034">
        <v>2.12</v>
      </c>
      <c r="E68" s="1034">
        <v>1.67</v>
      </c>
      <c r="F68" s="927">
        <v>4.12</v>
      </c>
      <c r="G68" s="927">
        <v>5.12</v>
      </c>
      <c r="H68" s="927">
        <v>5.12</v>
      </c>
      <c r="I68" s="927">
        <v>5.12</v>
      </c>
      <c r="J68" s="927">
        <v>5.12</v>
      </c>
    </row>
    <row r="69" spans="1:18" x14ac:dyDescent="0.2">
      <c r="A69" s="475"/>
      <c r="B69" s="953" t="s">
        <v>418</v>
      </c>
      <c r="C69" s="1034"/>
      <c r="D69" s="1034"/>
      <c r="E69" s="1034"/>
      <c r="F69" s="927"/>
      <c r="G69" s="927"/>
      <c r="H69" s="927"/>
      <c r="I69" s="927"/>
      <c r="J69" s="927"/>
    </row>
    <row r="70" spans="1:18" s="469" customFormat="1" ht="16.5" customHeight="1" x14ac:dyDescent="0.2">
      <c r="A70" s="473"/>
      <c r="B70" s="476" t="s">
        <v>419</v>
      </c>
      <c r="C70" s="954">
        <f>C66-C67</f>
        <v>967.34999999999991</v>
      </c>
      <c r="D70" s="954">
        <f>D66-D67</f>
        <v>1606.9399999999998</v>
      </c>
      <c r="E70" s="954">
        <f t="shared" ref="E70:J70" si="14">E66-E67-E68</f>
        <v>-1.67</v>
      </c>
      <c r="F70" s="927">
        <f t="shared" si="14"/>
        <v>-4.12</v>
      </c>
      <c r="G70" s="927">
        <f t="shared" si="14"/>
        <v>-5.12</v>
      </c>
      <c r="H70" s="927">
        <f t="shared" si="14"/>
        <v>-5.12</v>
      </c>
      <c r="I70" s="927">
        <f t="shared" si="14"/>
        <v>-5.12</v>
      </c>
      <c r="J70" s="927">
        <f t="shared" si="14"/>
        <v>-5.12</v>
      </c>
      <c r="K70" s="687"/>
      <c r="L70" s="470"/>
      <c r="M70" s="470"/>
      <c r="N70" s="470"/>
      <c r="O70" s="470"/>
      <c r="P70" s="470"/>
      <c r="Q70" s="470"/>
      <c r="R70" s="470"/>
    </row>
    <row r="71" spans="1:18" x14ac:dyDescent="0.2">
      <c r="A71" s="482" t="s">
        <v>179</v>
      </c>
      <c r="B71" s="483" t="s">
        <v>180</v>
      </c>
      <c r="C71" s="954">
        <f>'[5]A-2'!G35-'[5]A-2'!F35</f>
        <v>0</v>
      </c>
      <c r="D71" s="954">
        <f>'[5]A-2'!H35-'[5]A-2'!G35</f>
        <v>0</v>
      </c>
      <c r="E71" s="954"/>
      <c r="F71" s="927"/>
      <c r="G71" s="927"/>
      <c r="H71" s="927"/>
      <c r="I71" s="927"/>
      <c r="J71" s="927"/>
    </row>
    <row r="72" spans="1:18" x14ac:dyDescent="0.2">
      <c r="A72" s="482" t="s">
        <v>181</v>
      </c>
      <c r="B72" s="957" t="s">
        <v>182</v>
      </c>
      <c r="C72" s="484" t="e">
        <f>C64-C70-C71</f>
        <v>#REF!</v>
      </c>
      <c r="D72" s="484" t="e">
        <f>D64-D70-D71</f>
        <v>#REF!</v>
      </c>
      <c r="E72" s="484" t="e">
        <f>E64-E70-E71</f>
        <v>#REF!</v>
      </c>
      <c r="F72" s="838">
        <f>F64-F70-F71</f>
        <v>-147.62826231325755</v>
      </c>
      <c r="G72" s="838">
        <f>G64+G70-G71</f>
        <v>24.084871812850796</v>
      </c>
      <c r="H72" s="838">
        <f>H64-H70-H71</f>
        <v>-49.659751659996466</v>
      </c>
      <c r="I72" s="838">
        <f>I64-I70-I71</f>
        <v>8.8033013279988346</v>
      </c>
      <c r="J72" s="838">
        <f>J64-J70-J71</f>
        <v>9.2848938332941735</v>
      </c>
    </row>
    <row r="73" spans="1:18" x14ac:dyDescent="0.2">
      <c r="A73" s="482" t="s">
        <v>183</v>
      </c>
      <c r="B73" s="483" t="s">
        <v>163</v>
      </c>
      <c r="C73" s="954">
        <v>281.64</v>
      </c>
      <c r="D73" s="954" t="e">
        <f>C74</f>
        <v>#REF!</v>
      </c>
      <c r="E73" s="954">
        <f>D74</f>
        <v>170.15</v>
      </c>
      <c r="F73" s="1029" t="e">
        <f>#REF!</f>
        <v>#REF!</v>
      </c>
      <c r="G73" s="927">
        <f>F75</f>
        <v>195.73</v>
      </c>
      <c r="H73" s="838">
        <f>G75</f>
        <v>225.74</v>
      </c>
      <c r="I73" s="838">
        <f>H75</f>
        <v>176.07</v>
      </c>
      <c r="J73" s="838">
        <f>I75</f>
        <v>184.87349999999998</v>
      </c>
    </row>
    <row r="74" spans="1:18" s="469" customFormat="1" x14ac:dyDescent="0.2">
      <c r="A74" s="482" t="s">
        <v>164</v>
      </c>
      <c r="B74" s="483" t="s">
        <v>165</v>
      </c>
      <c r="C74" s="484" t="e">
        <f>C72+C73</f>
        <v>#REF!</v>
      </c>
      <c r="D74" s="484">
        <v>170.15</v>
      </c>
      <c r="E74" s="484" t="e">
        <f t="shared" ref="E74:J74" si="15">E72+E73</f>
        <v>#REF!</v>
      </c>
      <c r="F74" s="1029" t="e">
        <f t="shared" si="15"/>
        <v>#REF!</v>
      </c>
      <c r="G74" s="838">
        <f t="shared" si="15"/>
        <v>219.81487181285078</v>
      </c>
      <c r="H74" s="838">
        <f t="shared" si="15"/>
        <v>176.08024834000355</v>
      </c>
      <c r="I74" s="838">
        <f t="shared" si="15"/>
        <v>184.87330132799883</v>
      </c>
      <c r="J74" s="838">
        <f t="shared" si="15"/>
        <v>194.15839383329416</v>
      </c>
      <c r="K74" s="687"/>
      <c r="L74" s="470"/>
      <c r="M74" s="470"/>
      <c r="N74" s="470"/>
      <c r="O74" s="470"/>
      <c r="P74" s="470"/>
      <c r="Q74" s="470"/>
      <c r="R74" s="470"/>
    </row>
    <row r="75" spans="1:18" s="485" customFormat="1" x14ac:dyDescent="0.2">
      <c r="A75" s="1046"/>
      <c r="B75" s="1046"/>
      <c r="C75" s="1025">
        <f>'[5]A-2'!G43</f>
        <v>143.49</v>
      </c>
      <c r="D75" s="1025">
        <v>143.05000000000001</v>
      </c>
      <c r="E75" s="1025">
        <v>143.08000000000001</v>
      </c>
      <c r="F75" s="927">
        <v>195.73</v>
      </c>
      <c r="G75" s="838">
        <v>225.74</v>
      </c>
      <c r="H75" s="838">
        <v>176.07</v>
      </c>
      <c r="I75" s="838">
        <v>184.87349999999998</v>
      </c>
      <c r="J75" s="838">
        <v>194.11717499999997</v>
      </c>
      <c r="K75" s="687"/>
      <c r="L75" s="470"/>
      <c r="M75" s="470"/>
      <c r="N75" s="470"/>
      <c r="O75" s="470"/>
      <c r="P75" s="470"/>
      <c r="Q75" s="470"/>
      <c r="R75" s="470"/>
    </row>
    <row r="76" spans="1:18" s="485" customFormat="1" x14ac:dyDescent="0.2">
      <c r="A76" s="486"/>
      <c r="B76" s="486"/>
      <c r="C76" s="487" t="e">
        <f>C74-C75</f>
        <v>#REF!</v>
      </c>
      <c r="D76" s="487">
        <f>D74-D75</f>
        <v>27.099999999999994</v>
      </c>
      <c r="E76" s="679"/>
      <c r="F76" s="687"/>
      <c r="G76" s="687"/>
      <c r="H76" s="687"/>
      <c r="I76" s="687"/>
      <c r="J76" s="687"/>
      <c r="K76" s="687"/>
    </row>
    <row r="77" spans="1:18" s="485" customFormat="1" x14ac:dyDescent="0.2">
      <c r="E77" s="487">
        <f>E75-E76</f>
        <v>143.08000000000001</v>
      </c>
      <c r="F77" s="687"/>
      <c r="G77" s="877"/>
      <c r="H77" s="877"/>
      <c r="I77" s="877"/>
      <c r="J77" s="687"/>
      <c r="K77" s="687"/>
    </row>
    <row r="78" spans="1:18" s="485" customFormat="1" x14ac:dyDescent="0.2">
      <c r="B78" s="488"/>
      <c r="F78" s="687"/>
      <c r="G78" s="687"/>
      <c r="H78" s="687"/>
      <c r="I78" s="687"/>
      <c r="J78" s="687"/>
      <c r="K78" s="687"/>
    </row>
    <row r="79" spans="1:18" s="485" customFormat="1" x14ac:dyDescent="0.2">
      <c r="F79" s="687"/>
      <c r="G79" s="687"/>
      <c r="H79" s="687"/>
      <c r="I79" s="687"/>
      <c r="J79" s="687"/>
      <c r="K79" s="687"/>
    </row>
    <row r="80" spans="1:18" ht="12.75" customHeight="1" x14ac:dyDescent="0.2">
      <c r="A80" s="489"/>
      <c r="B80" s="489"/>
    </row>
    <row r="81" spans="1:2" x14ac:dyDescent="0.2">
      <c r="A81" s="489"/>
      <c r="B81" s="489"/>
    </row>
    <row r="82" spans="1:2" x14ac:dyDescent="0.2">
      <c r="A82" s="489"/>
      <c r="B82" s="489"/>
    </row>
    <row r="83" spans="1:2" x14ac:dyDescent="0.2">
      <c r="A83" s="489"/>
      <c r="B83" s="489"/>
    </row>
    <row r="84" spans="1:2" x14ac:dyDescent="0.2">
      <c r="A84" s="489"/>
      <c r="B84" s="489"/>
    </row>
    <row r="85" spans="1:2" x14ac:dyDescent="0.2">
      <c r="A85" s="489"/>
      <c r="B85" s="489"/>
    </row>
    <row r="86" spans="1:2" x14ac:dyDescent="0.2">
      <c r="A86" s="489"/>
      <c r="B86" s="489"/>
    </row>
  </sheetData>
  <mergeCells count="1">
    <mergeCell ref="A2:B2"/>
  </mergeCells>
  <hyperlinks>
    <hyperlink ref="C16:E16" r:id="rId1" display="=D10-@sum(D12:D14)"/>
    <hyperlink ref="F16:G16" r:id="rId2" display="=D10-@sum(D12:D14)"/>
    <hyperlink ref="F16:I16" r:id="rId3" display="=D10-@sum(D12:D14)"/>
    <hyperlink ref="J16" r:id="rId4" display="=D10-@sum(D12:D14)"/>
  </hyperlinks>
  <printOptions horizontalCentered="1" gridLines="1"/>
  <pageMargins left="0.35433070866141703" right="0.35433070866141703" top="0.49803149600000002" bottom="0.49803149600000002" header="0.511811023622047" footer="0.511811023622047"/>
  <pageSetup paperSize="9" scale="74" orientation="portrait" r:id="rId5"/>
  <headerFooter alignWithMargins="0"/>
  <rowBreaks count="1" manualBreakCount="1">
    <brk id="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R23"/>
  <sheetViews>
    <sheetView showGridLines="0" topLeftCell="A6" zoomScale="140" zoomScaleNormal="140" workbookViewId="0">
      <selection activeCell="C6" sqref="C6:R15"/>
    </sheetView>
  </sheetViews>
  <sheetFormatPr defaultRowHeight="12.75" x14ac:dyDescent="0.2"/>
  <cols>
    <col min="1" max="1" width="9.140625" style="94"/>
    <col min="2" max="2" width="10.7109375" style="94" customWidth="1"/>
    <col min="3" max="3" width="3.85546875" style="94" customWidth="1"/>
    <col min="4" max="4" width="25.5703125" style="94" customWidth="1"/>
    <col min="5" max="5" width="15" style="94" customWidth="1"/>
    <col min="6" max="7" width="11.85546875" style="94" hidden="1" customWidth="1"/>
    <col min="8" max="8" width="11.5703125" style="94" hidden="1" customWidth="1"/>
    <col min="9" max="9" width="11.140625" style="94" hidden="1" customWidth="1"/>
    <col min="10" max="10" width="0" style="94" hidden="1" customWidth="1"/>
    <col min="11" max="11" width="9.42578125" style="94" hidden="1" customWidth="1"/>
    <col min="12" max="12" width="9.140625" style="94" hidden="1" customWidth="1"/>
    <col min="13" max="13" width="10" style="94" hidden="1" customWidth="1"/>
    <col min="14" max="14" width="10.140625" style="94" hidden="1" customWidth="1"/>
    <col min="15" max="15" width="12.140625" style="1447" hidden="1" customWidth="1"/>
    <col min="16" max="18" width="9.140625" style="1447"/>
    <col min="19" max="16384" width="9.140625" style="94"/>
  </cols>
  <sheetData>
    <row r="1" spans="2:18" x14ac:dyDescent="0.2">
      <c r="B1" s="93"/>
      <c r="C1" s="94" t="s">
        <v>499</v>
      </c>
      <c r="F1" s="96"/>
      <c r="G1" s="96"/>
      <c r="O1" s="1396" t="s">
        <v>790</v>
      </c>
    </row>
    <row r="2" spans="2:18" x14ac:dyDescent="0.2">
      <c r="C2" s="94" t="s">
        <v>70</v>
      </c>
      <c r="F2" s="52"/>
      <c r="G2" s="52"/>
    </row>
    <row r="3" spans="2:18" ht="12.75" customHeight="1" thickBot="1" x14ac:dyDescent="0.25">
      <c r="B3" s="97"/>
      <c r="C3" s="97"/>
      <c r="D3" s="97"/>
      <c r="E3" s="97"/>
    </row>
    <row r="4" spans="2:18" ht="12.75" customHeight="1" thickBot="1" x14ac:dyDescent="0.25">
      <c r="B4" s="97"/>
      <c r="C4" s="97"/>
      <c r="D4" s="90" t="s">
        <v>109</v>
      </c>
      <c r="E4" s="97"/>
    </row>
    <row r="5" spans="2:18" x14ac:dyDescent="0.2">
      <c r="B5" s="97"/>
      <c r="C5" s="97"/>
      <c r="D5" s="97"/>
      <c r="E5" s="97"/>
      <c r="F5" s="46"/>
      <c r="G5" s="46"/>
    </row>
    <row r="6" spans="2:18" ht="39.75" customHeight="1" x14ac:dyDescent="0.2">
      <c r="B6" s="95"/>
      <c r="C6" s="98" t="s">
        <v>166</v>
      </c>
      <c r="D6" s="99" t="s">
        <v>68</v>
      </c>
      <c r="E6" s="98" t="s">
        <v>167</v>
      </c>
      <c r="F6" s="231" t="s">
        <v>546</v>
      </c>
      <c r="G6" s="250" t="s">
        <v>266</v>
      </c>
      <c r="H6" s="250" t="s">
        <v>267</v>
      </c>
      <c r="I6" s="250" t="s">
        <v>268</v>
      </c>
      <c r="J6" s="250" t="s">
        <v>629</v>
      </c>
      <c r="K6" s="250" t="s">
        <v>630</v>
      </c>
      <c r="L6" s="946" t="s">
        <v>631</v>
      </c>
      <c r="M6" s="946" t="s">
        <v>763</v>
      </c>
      <c r="N6" s="947" t="s">
        <v>764</v>
      </c>
      <c r="O6" s="947" t="s">
        <v>765</v>
      </c>
      <c r="P6" s="947" t="s">
        <v>873</v>
      </c>
      <c r="Q6" s="1457" t="s">
        <v>874</v>
      </c>
      <c r="R6" s="1457" t="s">
        <v>1178</v>
      </c>
    </row>
    <row r="7" spans="2:18" ht="25.5" x14ac:dyDescent="0.2">
      <c r="C7" s="99" t="s">
        <v>319</v>
      </c>
      <c r="D7" s="89" t="s">
        <v>34</v>
      </c>
      <c r="E7" s="87" t="s">
        <v>790</v>
      </c>
      <c r="F7" s="100">
        <v>205</v>
      </c>
      <c r="G7" s="251">
        <f>F7+F8</f>
        <v>415</v>
      </c>
      <c r="H7" s="251">
        <f>G7+G8</f>
        <v>503</v>
      </c>
      <c r="I7" s="251">
        <f>H7+H8</f>
        <v>546.91</v>
      </c>
      <c r="J7" s="251">
        <v>546.91</v>
      </c>
      <c r="K7" s="423">
        <f>J7</f>
        <v>546.91</v>
      </c>
      <c r="L7" s="707">
        <v>546.91999999999996</v>
      </c>
      <c r="M7" s="707">
        <v>546.91510000000005</v>
      </c>
      <c r="N7" s="707">
        <f>'[7]2.16'!$B$50</f>
        <v>546.91510000000005</v>
      </c>
      <c r="O7" s="1089">
        <f>N7</f>
        <v>546.91510000000005</v>
      </c>
      <c r="P7" s="1089">
        <f>O7</f>
        <v>546.91510000000005</v>
      </c>
      <c r="Q7" s="1089">
        <f>P7</f>
        <v>546.91510000000005</v>
      </c>
      <c r="R7" s="1089">
        <f>Q7</f>
        <v>546.91510000000005</v>
      </c>
    </row>
    <row r="8" spans="2:18" ht="60.75" customHeight="1" x14ac:dyDescent="0.2">
      <c r="C8" s="232" t="s">
        <v>320</v>
      </c>
      <c r="D8" s="125" t="s">
        <v>552</v>
      </c>
      <c r="E8" s="428" t="s">
        <v>790</v>
      </c>
      <c r="F8" s="126">
        <v>210</v>
      </c>
      <c r="G8" s="251">
        <v>88</v>
      </c>
      <c r="H8" s="251">
        <f>33.91+10</f>
        <v>43.91</v>
      </c>
      <c r="I8" s="251"/>
      <c r="J8" s="251"/>
      <c r="K8" s="423">
        <v>151.08000000000001</v>
      </c>
      <c r="L8" s="251">
        <f>97.02+151.08</f>
        <v>248.10000000000002</v>
      </c>
      <c r="M8" s="232">
        <f>[4]Sheet3!$D$229</f>
        <v>464.58</v>
      </c>
      <c r="N8" s="232">
        <f>M8+[4]Sheet3!D230</f>
        <v>656.42</v>
      </c>
      <c r="O8" s="1448">
        <f>'[31]chapter-4'!$D$130+'[31]chapter-4'!$D$131</f>
        <v>796.42</v>
      </c>
      <c r="P8" s="1448">
        <f>'[31]chapter-3'!$D$178+'[31]chapter-3'!$D$179</f>
        <v>812.53450416666681</v>
      </c>
      <c r="Q8" s="1448">
        <f>'[31]chapter-4'!$F$130+'[31]chapter-4'!$F$131</f>
        <v>1271.6199999999999</v>
      </c>
      <c r="R8" s="1448">
        <f>'[31]chapter-4'!$G$130+'[31]chapter-4'!$G$131</f>
        <v>1473.3799999999999</v>
      </c>
    </row>
    <row r="9" spans="2:18" ht="60.75" customHeight="1" x14ac:dyDescent="0.2">
      <c r="C9" s="272">
        <v>3</v>
      </c>
      <c r="D9" s="271" t="s">
        <v>614</v>
      </c>
      <c r="E9" s="273"/>
      <c r="F9" s="274">
        <v>-350.88</v>
      </c>
      <c r="G9" s="276">
        <v>-350.68</v>
      </c>
      <c r="H9" s="275">
        <f>-232.54</f>
        <v>-232.54</v>
      </c>
      <c r="I9" s="275">
        <v>-432.76</v>
      </c>
      <c r="J9" s="275">
        <v>-589.20000000000005</v>
      </c>
      <c r="K9" s="424">
        <f>113.44+J9</f>
        <v>-475.76000000000005</v>
      </c>
      <c r="L9" s="251">
        <f>-367.75+23.61</f>
        <v>-344.14</v>
      </c>
      <c r="M9" s="251">
        <f>[4]Sheet3!D231+54.81</f>
        <v>-235.75</v>
      </c>
      <c r="N9" s="251">
        <f>[4]Sheet3!D231+[4]Sheet3!D232</f>
        <v>-345.37</v>
      </c>
      <c r="O9" s="1449">
        <f>'[31]chapter-4'!$D$132+'[31]chapter-4'!$D$133</f>
        <v>-286.17600000000004</v>
      </c>
      <c r="P9" s="1449">
        <f>'[31]chapter-4'!$E$132+'[31]chapter-4'!$E$133</f>
        <v>-202.47630190300006</v>
      </c>
      <c r="Q9" s="1449">
        <f>'[31]chapter-4'!$F$132+'[31]chapter-4'!$F$133</f>
        <v>-55.966411407975386</v>
      </c>
      <c r="R9" s="1448">
        <f>'[31]chapter-4'!$G$132+'[31]chapter-4'!$G$133</f>
        <v>28.80358859202461</v>
      </c>
    </row>
    <row r="10" spans="2:18" ht="25.5" x14ac:dyDescent="0.2">
      <c r="C10" s="98" t="s">
        <v>321</v>
      </c>
      <c r="D10" s="102" t="s">
        <v>553</v>
      </c>
      <c r="E10" s="87"/>
      <c r="F10" s="101">
        <f>F7+F8+F9</f>
        <v>64.12</v>
      </c>
      <c r="G10" s="101">
        <f>G7+G8+G9</f>
        <v>152.32</v>
      </c>
      <c r="H10" s="101">
        <f>H7+H8+H9</f>
        <v>314.37</v>
      </c>
      <c r="I10" s="101">
        <f>I7+I8+I9</f>
        <v>114.14999999999998</v>
      </c>
      <c r="J10" s="108"/>
      <c r="K10" s="425">
        <f>K7+K8</f>
        <v>697.99</v>
      </c>
      <c r="L10" s="108">
        <f t="shared" ref="L10:Q10" si="0">L7+L8+L9</f>
        <v>450.88</v>
      </c>
      <c r="M10" s="108">
        <f t="shared" si="0"/>
        <v>775.74510000000009</v>
      </c>
      <c r="N10" s="108">
        <f t="shared" si="0"/>
        <v>857.96510000000001</v>
      </c>
      <c r="O10" s="1450">
        <f t="shared" si="0"/>
        <v>1057.1590999999999</v>
      </c>
      <c r="P10" s="1451">
        <f t="shared" si="0"/>
        <v>1156.9733022636667</v>
      </c>
      <c r="Q10" s="1451">
        <f t="shared" si="0"/>
        <v>1762.5686885920247</v>
      </c>
      <c r="R10" s="1451">
        <f>R7+R8+R9</f>
        <v>2049.0986885920242</v>
      </c>
    </row>
    <row r="11" spans="2:18" ht="25.5" customHeight="1" x14ac:dyDescent="0.2">
      <c r="C11" s="98"/>
      <c r="D11" s="1790" t="s">
        <v>5</v>
      </c>
      <c r="E11" s="1791"/>
      <c r="F11" s="1791"/>
      <c r="G11" s="1791"/>
      <c r="H11" s="1791"/>
      <c r="I11" s="1791"/>
      <c r="L11" s="232"/>
      <c r="M11" s="232"/>
      <c r="N11" s="232"/>
      <c r="O11" s="1452"/>
      <c r="P11" s="1452"/>
      <c r="Q11" s="1453"/>
      <c r="R11" s="1453"/>
    </row>
    <row r="12" spans="2:18" ht="22.5" customHeight="1" x14ac:dyDescent="0.2">
      <c r="C12" s="98"/>
      <c r="D12" s="102" t="s">
        <v>2</v>
      </c>
      <c r="E12" s="87"/>
      <c r="F12" s="101">
        <f>F7+F8+F9</f>
        <v>64.12</v>
      </c>
      <c r="G12" s="251">
        <f t="shared" ref="G12:Q12" si="1">G10</f>
        <v>152.32</v>
      </c>
      <c r="H12" s="251">
        <f t="shared" si="1"/>
        <v>314.37</v>
      </c>
      <c r="I12" s="251">
        <f t="shared" si="1"/>
        <v>114.14999999999998</v>
      </c>
      <c r="J12" s="251">
        <f t="shared" si="1"/>
        <v>0</v>
      </c>
      <c r="K12" s="423">
        <f t="shared" si="1"/>
        <v>697.99</v>
      </c>
      <c r="L12" s="251">
        <f t="shared" si="1"/>
        <v>450.88</v>
      </c>
      <c r="M12" s="251">
        <f t="shared" si="1"/>
        <v>775.74510000000009</v>
      </c>
      <c r="N12" s="948">
        <f t="shared" si="1"/>
        <v>857.96510000000001</v>
      </c>
      <c r="O12" s="1454">
        <f t="shared" si="1"/>
        <v>1057.1590999999999</v>
      </c>
      <c r="P12" s="1454">
        <f t="shared" si="1"/>
        <v>1156.9733022636667</v>
      </c>
      <c r="Q12" s="1454">
        <f t="shared" si="1"/>
        <v>1762.5686885920247</v>
      </c>
      <c r="R12" s="1454">
        <f>R10</f>
        <v>2049.0986885920242</v>
      </c>
    </row>
    <row r="13" spans="2:18" ht="25.5" x14ac:dyDescent="0.2">
      <c r="C13" s="98"/>
      <c r="D13" s="102" t="s">
        <v>3</v>
      </c>
      <c r="E13" s="87"/>
      <c r="F13" s="101"/>
      <c r="G13" s="232"/>
      <c r="H13" s="232"/>
      <c r="I13" s="232"/>
      <c r="J13" s="232"/>
      <c r="K13" s="423"/>
      <c r="L13" s="232"/>
      <c r="M13" s="232"/>
      <c r="N13" s="232"/>
      <c r="O13" s="1452"/>
      <c r="P13" s="1452"/>
      <c r="Q13" s="1452"/>
      <c r="R13" s="1452"/>
    </row>
    <row r="14" spans="2:18" ht="25.5" x14ac:dyDescent="0.2">
      <c r="C14" s="98"/>
      <c r="D14" s="223" t="s">
        <v>865</v>
      </c>
      <c r="E14" s="87"/>
      <c r="F14" s="224">
        <f t="shared" ref="F14:L14" si="2">F12+F13</f>
        <v>64.12</v>
      </c>
      <c r="G14" s="224">
        <f t="shared" si="2"/>
        <v>152.32</v>
      </c>
      <c r="H14" s="224">
        <f t="shared" si="2"/>
        <v>314.37</v>
      </c>
      <c r="I14" s="224">
        <f t="shared" si="2"/>
        <v>114.14999999999998</v>
      </c>
      <c r="J14" s="224">
        <f t="shared" si="2"/>
        <v>0</v>
      </c>
      <c r="K14" s="426">
        <f t="shared" si="2"/>
        <v>697.99</v>
      </c>
      <c r="L14" s="429">
        <f t="shared" si="2"/>
        <v>450.88</v>
      </c>
      <c r="M14" s="534">
        <f>M12+M13+95.88</f>
        <v>871.62510000000009</v>
      </c>
      <c r="N14" s="949">
        <f>N12+N13</f>
        <v>857.96510000000001</v>
      </c>
      <c r="O14" s="1455">
        <f>O12+O13</f>
        <v>1057.1590999999999</v>
      </c>
      <c r="P14" s="1455">
        <f>P12+P13</f>
        <v>1156.9733022636667</v>
      </c>
      <c r="Q14" s="1455">
        <f>Q12+Q13</f>
        <v>1762.5686885920247</v>
      </c>
      <c r="R14" s="1455">
        <f>R12+R13</f>
        <v>2049.0986885920242</v>
      </c>
    </row>
    <row r="15" spans="2:18" ht="15.75" customHeight="1" x14ac:dyDescent="0.2">
      <c r="B15" s="95"/>
      <c r="C15" s="99" t="s">
        <v>322</v>
      </c>
      <c r="D15" s="1069" t="s">
        <v>1110</v>
      </c>
      <c r="E15" s="254">
        <v>0.155</v>
      </c>
      <c r="F15" s="108">
        <f>F12*E15</f>
        <v>9.938600000000001</v>
      </c>
      <c r="G15" s="108">
        <f>G12*E15+5.1</f>
        <v>28.709600000000002</v>
      </c>
      <c r="H15" s="108">
        <f>H12*19.377%</f>
        <v>60.9154749</v>
      </c>
      <c r="I15" s="108">
        <f>I7*19.377%</f>
        <v>105.97475069999999</v>
      </c>
      <c r="J15" s="108">
        <f>J14*E15</f>
        <v>0</v>
      </c>
      <c r="K15" s="425">
        <v>113.44</v>
      </c>
      <c r="L15" s="108">
        <f t="shared" ref="L15:Q15" si="3">L14*$E$15</f>
        <v>69.886399999999995</v>
      </c>
      <c r="M15" s="535">
        <f t="shared" si="3"/>
        <v>135.10189050000002</v>
      </c>
      <c r="N15" s="108">
        <f t="shared" si="3"/>
        <v>132.9845905</v>
      </c>
      <c r="O15" s="1450">
        <f>O14*E15</f>
        <v>163.85966049999999</v>
      </c>
      <c r="P15" s="1450">
        <f t="shared" si="3"/>
        <v>179.33086185086833</v>
      </c>
      <c r="Q15" s="1450">
        <f t="shared" si="3"/>
        <v>273.19814673176381</v>
      </c>
      <c r="R15" s="1450">
        <f>R14*$E$15</f>
        <v>317.61029673176375</v>
      </c>
    </row>
    <row r="16" spans="2:18" ht="15.75" customHeight="1" x14ac:dyDescent="0.2">
      <c r="B16" s="96"/>
      <c r="C16" s="185"/>
      <c r="D16" s="187"/>
      <c r="E16" s="211"/>
      <c r="F16" s="212"/>
      <c r="H16" s="277"/>
      <c r="I16" s="277"/>
      <c r="J16" s="277"/>
      <c r="K16" s="277"/>
      <c r="L16" s="277"/>
      <c r="O16" s="1456"/>
      <c r="P16" s="1456"/>
      <c r="Q16" s="1456"/>
    </row>
    <row r="17" spans="3:13" x14ac:dyDescent="0.2">
      <c r="C17" s="49"/>
      <c r="K17" s="277">
        <f>697.99-L7</f>
        <v>151.07000000000005</v>
      </c>
      <c r="M17" s="533"/>
    </row>
    <row r="18" spans="3:13" x14ac:dyDescent="0.2">
      <c r="M18" s="524"/>
    </row>
    <row r="19" spans="3:13" ht="30.75" customHeight="1" x14ac:dyDescent="0.2">
      <c r="D19" s="1792"/>
      <c r="E19" s="1792"/>
      <c r="F19" s="1792"/>
      <c r="G19" s="1792"/>
      <c r="H19" s="1792"/>
      <c r="I19" s="1792"/>
      <c r="J19" s="1792"/>
      <c r="K19" s="1792"/>
      <c r="L19" s="1792"/>
    </row>
    <row r="21" spans="3:13" x14ac:dyDescent="0.2">
      <c r="I21" s="277"/>
    </row>
    <row r="22" spans="3:13" x14ac:dyDescent="0.2">
      <c r="I22" s="277"/>
    </row>
    <row r="23" spans="3:13" x14ac:dyDescent="0.2">
      <c r="I23" s="277"/>
    </row>
  </sheetData>
  <customSheetViews>
    <customSheetView guid="{80837D84-6D11-4A5F-87D7-272A542EF21A}" scale="85" showGridLines="0" fitToPage="1" showRuler="0" topLeftCell="A10">
      <selection activeCell="K32" sqref="K32"/>
      <pageMargins left="0.75" right="0.75" top="1" bottom="1" header="0.5" footer="0.5"/>
      <printOptions horizontalCentered="1"/>
      <pageSetup orientation="landscape" horizontalDpi="180" verticalDpi="180" r:id="rId1"/>
      <headerFooter alignWithMargins="0"/>
    </customSheetView>
    <customSheetView guid="{5FF41722-DC20-49D9-9ED5-FEC8C9404ECB}" scale="85" showPageBreaks="1" showGridLines="0" fitToPage="1" printArea="1" showRuler="0" topLeftCell="A10">
      <selection activeCell="K32" sqref="K32"/>
      <pageMargins left="0.75" right="0.75" top="1" bottom="1" header="0.5" footer="0.5"/>
      <printOptions horizontalCentered="1"/>
      <pageSetup orientation="landscape" horizontalDpi="180" verticalDpi="180" r:id="rId2"/>
      <headerFooter alignWithMargins="0"/>
    </customSheetView>
    <customSheetView guid="{23A957A0-E704-4A72-A26E-A4FA7FC4849F}" scale="85" showPageBreaks="1" showGridLines="0" fitToPage="1" printArea="1" showRuler="0" topLeftCell="A10">
      <selection activeCell="K32" sqref="K32"/>
      <pageMargins left="0.75" right="0.75" top="1" bottom="1" header="0.5" footer="0.5"/>
      <printOptions horizontalCentered="1"/>
      <pageSetup orientation="landscape" horizontalDpi="180" verticalDpi="180" r:id="rId3"/>
      <headerFooter alignWithMargins="0"/>
    </customSheetView>
  </customSheetViews>
  <mergeCells count="2">
    <mergeCell ref="D11:I11"/>
    <mergeCell ref="D19:L19"/>
  </mergeCells>
  <phoneticPr fontId="0" type="noConversion"/>
  <printOptions horizontalCentered="1"/>
  <pageMargins left="0.75" right="0.75" top="1" bottom="1" header="0.5" footer="0.5"/>
  <pageSetup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workbookViewId="0">
      <selection activeCell="A117" sqref="A117:IV117"/>
    </sheetView>
  </sheetViews>
  <sheetFormatPr defaultRowHeight="15" x14ac:dyDescent="0.25"/>
  <cols>
    <col min="1" max="1" width="5.85546875" style="708" customWidth="1"/>
    <col min="2" max="2" width="23" style="708" customWidth="1"/>
    <col min="3" max="3" width="8" style="708" customWidth="1"/>
    <col min="4" max="4" width="9" style="708" customWidth="1"/>
    <col min="5" max="5" width="10.140625" style="708" customWidth="1"/>
    <col min="6" max="6" width="12.85546875" style="708" customWidth="1"/>
    <col min="7" max="7" width="10.28515625" style="708" customWidth="1"/>
    <col min="8" max="11" width="9.140625" style="708" customWidth="1"/>
    <col min="12" max="12" width="11.140625" style="708" customWidth="1"/>
    <col min="13" max="13" width="9.140625" style="708" customWidth="1"/>
    <col min="14" max="14" width="9.7109375" style="708" customWidth="1"/>
    <col min="15" max="15" width="11" style="814" customWidth="1"/>
    <col min="16" max="16384" width="9.140625" style="708"/>
  </cols>
  <sheetData>
    <row r="1" spans="1:15" x14ac:dyDescent="0.25">
      <c r="A1" s="1801" t="s">
        <v>341</v>
      </c>
      <c r="B1" s="1801"/>
      <c r="C1" s="1801"/>
      <c r="D1" s="1801"/>
      <c r="E1" s="1801"/>
      <c r="F1" s="1801"/>
      <c r="G1" s="1801"/>
      <c r="H1" s="1801"/>
      <c r="I1" s="1801"/>
      <c r="J1" s="1801"/>
      <c r="K1" s="1801"/>
      <c r="L1" s="1801"/>
      <c r="M1" s="1801"/>
      <c r="N1" s="1801"/>
      <c r="O1" s="1801"/>
    </row>
    <row r="2" spans="1:15" ht="17.25" customHeight="1" x14ac:dyDescent="0.25">
      <c r="A2" s="1802" t="s">
        <v>794</v>
      </c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</row>
    <row r="3" spans="1:15" ht="25.5" customHeight="1" x14ac:dyDescent="0.25">
      <c r="A3" s="1803" t="s">
        <v>892</v>
      </c>
      <c r="B3" s="1804"/>
      <c r="C3" s="1804"/>
      <c r="D3" s="1804"/>
      <c r="E3" s="1804"/>
      <c r="F3" s="1804"/>
      <c r="G3" s="1804"/>
      <c r="H3" s="1804"/>
      <c r="I3" s="1804"/>
      <c r="J3" s="1804"/>
      <c r="K3" s="1804"/>
      <c r="L3" s="1804"/>
      <c r="M3" s="1804"/>
      <c r="N3" s="1804"/>
      <c r="O3" s="1804"/>
    </row>
    <row r="4" spans="1:15" ht="15" customHeight="1" x14ac:dyDescent="0.25">
      <c r="A4" s="1805" t="s">
        <v>229</v>
      </c>
      <c r="B4" s="1805" t="s">
        <v>339</v>
      </c>
      <c r="C4" s="1807" t="s">
        <v>670</v>
      </c>
      <c r="D4" s="709"/>
      <c r="E4" s="1809" t="s">
        <v>775</v>
      </c>
      <c r="F4" s="1811" t="s">
        <v>807</v>
      </c>
      <c r="G4" s="1812"/>
      <c r="H4" s="1812"/>
      <c r="I4" s="1812"/>
      <c r="J4" s="1812"/>
      <c r="K4" s="1812"/>
      <c r="L4" s="1812"/>
      <c r="M4" s="1812"/>
      <c r="N4" s="1812"/>
      <c r="O4" s="1813"/>
    </row>
    <row r="5" spans="1:15" ht="58.5" customHeight="1" x14ac:dyDescent="0.25">
      <c r="A5" s="1806"/>
      <c r="B5" s="1806"/>
      <c r="C5" s="1808"/>
      <c r="D5" s="710" t="s">
        <v>795</v>
      </c>
      <c r="E5" s="1810"/>
      <c r="F5" s="711" t="s">
        <v>600</v>
      </c>
      <c r="G5" s="712" t="s">
        <v>671</v>
      </c>
      <c r="H5" s="713" t="s">
        <v>672</v>
      </c>
      <c r="I5" s="713" t="s">
        <v>673</v>
      </c>
      <c r="J5" s="713" t="s">
        <v>674</v>
      </c>
      <c r="K5" s="714" t="s">
        <v>43</v>
      </c>
      <c r="L5" s="712" t="s">
        <v>675</v>
      </c>
      <c r="M5" s="713" t="s">
        <v>676</v>
      </c>
      <c r="N5" s="713" t="s">
        <v>677</v>
      </c>
      <c r="O5" s="715" t="s">
        <v>678</v>
      </c>
    </row>
    <row r="6" spans="1:15" x14ac:dyDescent="0.25">
      <c r="A6" s="1797" t="s">
        <v>679</v>
      </c>
      <c r="B6" s="1798"/>
      <c r="C6" s="716"/>
      <c r="D6" s="716"/>
      <c r="E6" s="717"/>
      <c r="F6" s="718">
        <v>49.62</v>
      </c>
      <c r="G6" s="719" t="s">
        <v>402</v>
      </c>
      <c r="H6" s="719" t="s">
        <v>404</v>
      </c>
      <c r="I6" s="719" t="s">
        <v>406</v>
      </c>
      <c r="J6" s="719" t="s">
        <v>408</v>
      </c>
      <c r="K6" s="719"/>
      <c r="L6" s="719" t="s">
        <v>680</v>
      </c>
      <c r="M6" s="719" t="s">
        <v>681</v>
      </c>
      <c r="N6" s="720"/>
      <c r="O6" s="721"/>
    </row>
    <row r="7" spans="1:15" ht="11.25" customHeight="1" x14ac:dyDescent="0.25">
      <c r="A7" s="722" t="s">
        <v>191</v>
      </c>
      <c r="B7" s="723" t="s">
        <v>125</v>
      </c>
      <c r="C7" s="724"/>
      <c r="D7" s="724"/>
      <c r="E7" s="725"/>
      <c r="F7" s="726"/>
      <c r="G7" s="727"/>
      <c r="H7" s="727"/>
      <c r="I7" s="727"/>
      <c r="J7" s="727"/>
      <c r="K7" s="727"/>
      <c r="L7" s="727"/>
      <c r="M7" s="727"/>
      <c r="N7" s="727"/>
      <c r="O7" s="728"/>
    </row>
    <row r="8" spans="1:15" x14ac:dyDescent="0.25">
      <c r="A8" s="714">
        <v>1</v>
      </c>
      <c r="B8" s="729" t="s">
        <v>682</v>
      </c>
      <c r="C8" s="730">
        <f>1035+55</f>
        <v>1090</v>
      </c>
      <c r="D8" s="730">
        <v>6.3906000000000001</v>
      </c>
      <c r="E8" s="731">
        <f>C8*D8%</f>
        <v>69.657540000000012</v>
      </c>
      <c r="F8" s="732">
        <f>[1]Sheet1!BD42/10^6</f>
        <v>178.08001734799998</v>
      </c>
      <c r="G8" s="732">
        <f>[8]Sheet1!C373/10^7</f>
        <v>0.62965941568914607</v>
      </c>
      <c r="H8" s="732">
        <f>[8]Sheet1!D373/10^7</f>
        <v>6.140800368875249</v>
      </c>
      <c r="I8" s="732">
        <f>[8]Sheet1!E373/10^7</f>
        <v>0</v>
      </c>
      <c r="J8" s="732">
        <f>[8]Sheet1!F373/10^7</f>
        <v>0.71236887321599995</v>
      </c>
      <c r="K8" s="727">
        <f>G8+H8+I8+J8</f>
        <v>7.4828286577803951</v>
      </c>
      <c r="L8" s="727">
        <f>G8</f>
        <v>0.62965941568914607</v>
      </c>
      <c r="M8" s="727">
        <f>H8+I8+J8</f>
        <v>6.8531692420912487</v>
      </c>
      <c r="N8" s="727">
        <f>L8+M8</f>
        <v>7.4828286577803951</v>
      </c>
      <c r="O8" s="728">
        <f>N8/F8*1000</f>
        <v>42.01947399385984</v>
      </c>
    </row>
    <row r="9" spans="1:15" x14ac:dyDescent="0.25">
      <c r="A9" s="714">
        <v>2</v>
      </c>
      <c r="B9" s="729" t="s">
        <v>683</v>
      </c>
      <c r="C9" s="730">
        <v>39.200000000000003</v>
      </c>
      <c r="D9" s="730">
        <v>47.21</v>
      </c>
      <c r="E9" s="731">
        <f t="shared" ref="E9:E23" si="0">C9*D9%</f>
        <v>18.506320000000002</v>
      </c>
      <c r="F9" s="732">
        <f>[1]Sheet1!BD49/10^6</f>
        <v>7.1352897640000004</v>
      </c>
      <c r="G9" s="732">
        <f>[8]Sheet1!C380/10^7</f>
        <v>0.10554862560037058</v>
      </c>
      <c r="H9" s="732">
        <f>[8]Sheet1!D380/10^7</f>
        <v>2.3801645507884799</v>
      </c>
      <c r="I9" s="732">
        <f>[8]Sheet1!E380/10^7</f>
        <v>0</v>
      </c>
      <c r="J9" s="732">
        <f>[8]Sheet1!F380/10^7</f>
        <v>2.8592449463200005E-2</v>
      </c>
      <c r="K9" s="727">
        <f t="shared" ref="K9:K23" si="1">G9+H9+I9+J9</f>
        <v>2.5143056258520504</v>
      </c>
      <c r="L9" s="727">
        <f t="shared" ref="L9:L23" si="2">G9</f>
        <v>0.10554862560037058</v>
      </c>
      <c r="M9" s="727">
        <f t="shared" ref="M9:M23" si="3">H9+I9+J9</f>
        <v>2.40875700025168</v>
      </c>
      <c r="N9" s="727">
        <f t="shared" ref="N9:N23" si="4">L9+M9</f>
        <v>2.5143056258520504</v>
      </c>
      <c r="O9" s="728"/>
    </row>
    <row r="10" spans="1:15" x14ac:dyDescent="0.25">
      <c r="A10" s="714">
        <v>3</v>
      </c>
      <c r="B10" s="729" t="s">
        <v>126</v>
      </c>
      <c r="C10" s="730">
        <f>855+100</f>
        <v>955</v>
      </c>
      <c r="D10" s="730">
        <v>26.1097</v>
      </c>
      <c r="E10" s="731">
        <f t="shared" si="0"/>
        <v>249.34763500000003</v>
      </c>
      <c r="F10" s="732">
        <f>[1]Sheet1!BD43/10^6</f>
        <v>466.69216770800006</v>
      </c>
      <c r="G10" s="732">
        <f>[8]Sheet1!C374/10^7</f>
        <v>3.5546103713006265</v>
      </c>
      <c r="H10" s="732">
        <f>[8]Sheet1!D374/10^7+6.78</f>
        <v>39.484393926175109</v>
      </c>
      <c r="I10" s="732">
        <f>[8]Sheet1!E374/10^7</f>
        <v>0</v>
      </c>
      <c r="J10" s="732">
        <f>[8]Sheet1!F374/10^7</f>
        <v>1.866728667319999</v>
      </c>
      <c r="K10" s="727">
        <f t="shared" si="1"/>
        <v>44.905732964795732</v>
      </c>
      <c r="L10" s="727">
        <f t="shared" si="2"/>
        <v>3.5546103713006265</v>
      </c>
      <c r="M10" s="727">
        <f t="shared" si="3"/>
        <v>41.351122593495106</v>
      </c>
      <c r="N10" s="727">
        <f t="shared" si="4"/>
        <v>44.905732964795732</v>
      </c>
      <c r="O10" s="728">
        <f t="shared" ref="O10:O33" si="5">N10/F10*1000</f>
        <v>96.221312616697588</v>
      </c>
    </row>
    <row r="11" spans="1:15" x14ac:dyDescent="0.25">
      <c r="A11" s="714">
        <v>4</v>
      </c>
      <c r="B11" s="729" t="s">
        <v>684</v>
      </c>
      <c r="C11" s="730">
        <v>230</v>
      </c>
      <c r="D11" s="730">
        <v>47.21</v>
      </c>
      <c r="E11" s="731">
        <f t="shared" si="0"/>
        <v>108.583</v>
      </c>
      <c r="F11" s="732">
        <f>[1]Sheet1!BD44/10^6</f>
        <v>358.65183702799987</v>
      </c>
      <c r="G11" s="732">
        <f>[8]Sheet1!C375/10^7</f>
        <v>4.0916753947805153</v>
      </c>
      <c r="H11" s="732">
        <f>[8]Sheet1!D375/10^7</f>
        <v>40.909906670072012</v>
      </c>
      <c r="I11" s="732">
        <f>[8]Sheet1!E375/10^7</f>
        <v>0</v>
      </c>
      <c r="J11" s="732">
        <f>[8]Sheet1!F375/10^7</f>
        <v>1.4346061913336403</v>
      </c>
      <c r="K11" s="727">
        <f t="shared" si="1"/>
        <v>46.436188256186171</v>
      </c>
      <c r="L11" s="727">
        <f t="shared" si="2"/>
        <v>4.0916753947805153</v>
      </c>
      <c r="M11" s="727">
        <f t="shared" si="3"/>
        <v>42.344512861405654</v>
      </c>
      <c r="N11" s="727">
        <f t="shared" si="4"/>
        <v>46.436188256186171</v>
      </c>
      <c r="O11" s="728">
        <f t="shared" si="5"/>
        <v>129.47427968300329</v>
      </c>
    </row>
    <row r="12" spans="1:15" x14ac:dyDescent="0.25">
      <c r="A12" s="714"/>
      <c r="B12" s="729" t="s">
        <v>685</v>
      </c>
      <c r="C12" s="730"/>
      <c r="D12" s="730"/>
      <c r="E12" s="731">
        <f t="shared" si="0"/>
        <v>0</v>
      </c>
      <c r="F12" s="732"/>
      <c r="G12" s="727">
        <f>[8]Sheet1!$C$383/10^7</f>
        <v>6.4310377873999993</v>
      </c>
      <c r="H12" s="727">
        <f>[8]Sheet1!$D$383/10^7</f>
        <v>5.347494326174532</v>
      </c>
      <c r="I12" s="727"/>
      <c r="J12" s="727"/>
      <c r="K12" s="727">
        <f t="shared" si="1"/>
        <v>11.778532113574531</v>
      </c>
      <c r="L12" s="727">
        <f>G12</f>
        <v>6.4310377873999993</v>
      </c>
      <c r="M12" s="727">
        <f>H12</f>
        <v>5.347494326174532</v>
      </c>
      <c r="N12" s="727">
        <f t="shared" si="4"/>
        <v>11.778532113574531</v>
      </c>
      <c r="O12" s="728"/>
    </row>
    <row r="13" spans="1:15" x14ac:dyDescent="0.25">
      <c r="A13" s="714">
        <v>5</v>
      </c>
      <c r="B13" s="729" t="s">
        <v>127</v>
      </c>
      <c r="C13" s="730">
        <v>32</v>
      </c>
      <c r="D13" s="730">
        <v>47.21</v>
      </c>
      <c r="E13" s="731">
        <f t="shared" si="0"/>
        <v>15.107200000000001</v>
      </c>
      <c r="F13" s="732">
        <f>[1]Sheet1!BD48/10^6</f>
        <v>22.375179899999999</v>
      </c>
      <c r="G13" s="732">
        <f>[8]Sheet1!C379/10^7</f>
        <v>0.3777069324910346</v>
      </c>
      <c r="H13" s="732">
        <f>[8]Sheet1!D379/10^7</f>
        <v>2.7040474674230004</v>
      </c>
      <c r="I13" s="732">
        <f>[8]Sheet1!E379/10^7</f>
        <v>0</v>
      </c>
      <c r="J13" s="732">
        <f>[8]Sheet1!F379/10^7</f>
        <v>8.9489387600000012E-2</v>
      </c>
      <c r="K13" s="727">
        <f t="shared" si="1"/>
        <v>3.1712437875140349</v>
      </c>
      <c r="L13" s="727">
        <f t="shared" si="2"/>
        <v>0.3777069324910346</v>
      </c>
      <c r="M13" s="727">
        <f t="shared" si="3"/>
        <v>2.7935368550230004</v>
      </c>
      <c r="N13" s="727">
        <f t="shared" si="4"/>
        <v>3.1712437875140349</v>
      </c>
      <c r="O13" s="728">
        <f t="shared" si="5"/>
        <v>141.73042637811528</v>
      </c>
    </row>
    <row r="14" spans="1:15" x14ac:dyDescent="0.25">
      <c r="A14" s="714">
        <v>6</v>
      </c>
      <c r="B14" s="729" t="s">
        <v>128</v>
      </c>
      <c r="C14" s="730">
        <f>9+0.4+1</f>
        <v>10.4</v>
      </c>
      <c r="D14" s="730">
        <v>47.21</v>
      </c>
      <c r="E14" s="731">
        <f t="shared" si="0"/>
        <v>4.90984</v>
      </c>
      <c r="F14" s="732"/>
      <c r="G14" s="727"/>
      <c r="H14" s="727"/>
      <c r="I14" s="727"/>
      <c r="J14" s="727"/>
      <c r="K14" s="727"/>
      <c r="L14" s="727">
        <f t="shared" si="2"/>
        <v>0</v>
      </c>
      <c r="M14" s="727">
        <f t="shared" si="3"/>
        <v>0</v>
      </c>
      <c r="N14" s="727">
        <f t="shared" si="4"/>
        <v>0</v>
      </c>
      <c r="O14" s="728"/>
    </row>
    <row r="15" spans="1:15" x14ac:dyDescent="0.25">
      <c r="A15" s="714">
        <v>7</v>
      </c>
      <c r="B15" s="729" t="s">
        <v>129</v>
      </c>
      <c r="C15" s="730">
        <v>150</v>
      </c>
      <c r="D15" s="730">
        <v>47.21</v>
      </c>
      <c r="E15" s="731">
        <f t="shared" si="0"/>
        <v>70.814999999999998</v>
      </c>
      <c r="F15" s="732">
        <f>[1]Sheet1!BD45/10^6</f>
        <v>87.504914270000128</v>
      </c>
      <c r="G15" s="732">
        <f>[8]Sheet1!C376/10^7</f>
        <v>2.6932569022476476</v>
      </c>
      <c r="H15" s="732">
        <f>[8]Sheet1!D376/10^7</f>
        <v>5.2406167210094949</v>
      </c>
      <c r="I15" s="732">
        <f>[8]Sheet1!E376/10^7</f>
        <v>0</v>
      </c>
      <c r="J15" s="732">
        <f>[8]Sheet1!F376/10^7</f>
        <v>0.34997603896000001</v>
      </c>
      <c r="K15" s="727">
        <f t="shared" si="1"/>
        <v>8.2838496622171416</v>
      </c>
      <c r="L15" s="727">
        <f t="shared" si="2"/>
        <v>2.6932569022476476</v>
      </c>
      <c r="M15" s="727">
        <f t="shared" si="3"/>
        <v>5.5905927599694953</v>
      </c>
      <c r="N15" s="727">
        <f t="shared" si="4"/>
        <v>8.2838496622171434</v>
      </c>
      <c r="O15" s="728">
        <f t="shared" si="5"/>
        <v>94.667250763276826</v>
      </c>
    </row>
    <row r="16" spans="1:15" x14ac:dyDescent="0.25">
      <c r="A16" s="714">
        <v>8</v>
      </c>
      <c r="B16" s="729" t="s">
        <v>130</v>
      </c>
      <c r="C16" s="730">
        <v>120</v>
      </c>
      <c r="D16" s="730">
        <v>47.21</v>
      </c>
      <c r="E16" s="731">
        <f t="shared" si="0"/>
        <v>56.652000000000001</v>
      </c>
      <c r="F16" s="732">
        <f>[1]Sheet1!BD46/10^6</f>
        <v>77.35202728999981</v>
      </c>
      <c r="G16" s="732">
        <f>[8]Sheet1!C377/10^7</f>
        <v>1.6583674029113311</v>
      </c>
      <c r="H16" s="732">
        <f>[8]Sheet1!D377/10^7</f>
        <v>3.5776326803120106</v>
      </c>
      <c r="I16" s="732">
        <f>[8]Sheet1!E377/10^7</f>
        <v>0</v>
      </c>
      <c r="J16" s="732">
        <f>[8]Sheet1!F377/10^7</f>
        <v>0.30940810828000048</v>
      </c>
      <c r="K16" s="727">
        <f t="shared" si="1"/>
        <v>5.5454081915033422</v>
      </c>
      <c r="L16" s="727">
        <f t="shared" si="2"/>
        <v>1.6583674029113311</v>
      </c>
      <c r="M16" s="727">
        <f t="shared" si="3"/>
        <v>3.8870407885920111</v>
      </c>
      <c r="N16" s="727">
        <f t="shared" si="4"/>
        <v>5.5454081915033422</v>
      </c>
      <c r="O16" s="728">
        <f t="shared" si="5"/>
        <v>71.690534634769179</v>
      </c>
    </row>
    <row r="17" spans="1:15" x14ac:dyDescent="0.25">
      <c r="A17" s="714">
        <v>9</v>
      </c>
      <c r="B17" s="729" t="s">
        <v>131</v>
      </c>
      <c r="C17" s="730">
        <v>240</v>
      </c>
      <c r="D17" s="730">
        <v>47.21</v>
      </c>
      <c r="E17" s="731">
        <f t="shared" si="0"/>
        <v>113.304</v>
      </c>
      <c r="F17" s="732">
        <f>[1]Sheet1!BD47/10^6</f>
        <v>129.09905009999991</v>
      </c>
      <c r="G17" s="732">
        <f>[8]Sheet1!C378/10^7</f>
        <v>4.6519482527792198</v>
      </c>
      <c r="H17" s="732">
        <f>[8]Sheet1!D378/10^7</f>
        <v>6.827611928108019</v>
      </c>
      <c r="I17" s="732">
        <f>[8]Sheet1!E378/10^7</f>
        <v>0</v>
      </c>
      <c r="J17" s="732">
        <f>[8]Sheet1!F378/10^7</f>
        <v>0.51634710040000065</v>
      </c>
      <c r="K17" s="727">
        <f t="shared" si="1"/>
        <v>11.99590728128724</v>
      </c>
      <c r="L17" s="727">
        <f t="shared" si="2"/>
        <v>4.6519482527792198</v>
      </c>
      <c r="M17" s="727">
        <f t="shared" si="3"/>
        <v>7.3439590285080198</v>
      </c>
      <c r="N17" s="727">
        <f t="shared" si="4"/>
        <v>11.99590728128724</v>
      </c>
      <c r="O17" s="728">
        <f t="shared" si="5"/>
        <v>92.920182387052648</v>
      </c>
    </row>
    <row r="18" spans="1:15" x14ac:dyDescent="0.25">
      <c r="A18" s="714">
        <v>10</v>
      </c>
      <c r="B18" s="729" t="s">
        <v>132</v>
      </c>
      <c r="C18" s="730">
        <v>180</v>
      </c>
      <c r="D18" s="730">
        <v>47.21</v>
      </c>
      <c r="E18" s="731">
        <f t="shared" si="0"/>
        <v>84.978000000000009</v>
      </c>
      <c r="F18" s="732">
        <f>[1]Sheet1!BD50/10^6</f>
        <v>205.21691244000019</v>
      </c>
      <c r="G18" s="732">
        <f>[8]Sheet1!C381/10^7</f>
        <v>9.1068090000000002</v>
      </c>
      <c r="H18" s="732">
        <f>[8]Sheet1!D381/10^7</f>
        <v>15.805511436000002</v>
      </c>
      <c r="I18" s="732">
        <f>[8]Sheet1!E381/10^7</f>
        <v>1.0417015241670049</v>
      </c>
      <c r="J18" s="732">
        <f>[8]Sheet1!F381/10^7</f>
        <v>2.0521691294999993</v>
      </c>
      <c r="K18" s="727">
        <f t="shared" si="1"/>
        <v>28.006191089667006</v>
      </c>
      <c r="L18" s="727">
        <f t="shared" si="2"/>
        <v>9.1068090000000002</v>
      </c>
      <c r="M18" s="727">
        <f t="shared" si="3"/>
        <v>18.899382089667007</v>
      </c>
      <c r="N18" s="727">
        <f t="shared" si="4"/>
        <v>28.006191089667006</v>
      </c>
      <c r="O18" s="728">
        <f t="shared" si="5"/>
        <v>136.47116486003682</v>
      </c>
    </row>
    <row r="19" spans="1:15" x14ac:dyDescent="0.25">
      <c r="A19" s="714">
        <f>A18+1</f>
        <v>11</v>
      </c>
      <c r="B19" s="729" t="s">
        <v>686</v>
      </c>
      <c r="C19" s="730">
        <v>0.35</v>
      </c>
      <c r="D19" s="730">
        <v>47.21</v>
      </c>
      <c r="E19" s="731">
        <f t="shared" si="0"/>
        <v>0.16523499999999999</v>
      </c>
      <c r="F19" s="732"/>
      <c r="G19" s="727"/>
      <c r="H19" s="720"/>
      <c r="I19" s="727"/>
      <c r="J19" s="720"/>
      <c r="K19" s="727">
        <f t="shared" si="1"/>
        <v>0</v>
      </c>
      <c r="L19" s="727">
        <f t="shared" si="2"/>
        <v>0</v>
      </c>
      <c r="M19" s="727">
        <f t="shared" si="3"/>
        <v>0</v>
      </c>
      <c r="N19" s="727">
        <f t="shared" si="4"/>
        <v>0</v>
      </c>
      <c r="O19" s="728"/>
    </row>
    <row r="20" spans="1:15" x14ac:dyDescent="0.25">
      <c r="A20" s="714">
        <v>12</v>
      </c>
      <c r="B20" s="733" t="s">
        <v>249</v>
      </c>
      <c r="C20" s="734">
        <v>42</v>
      </c>
      <c r="D20" s="730">
        <v>47.21</v>
      </c>
      <c r="E20" s="731">
        <f t="shared" si="0"/>
        <v>19.828200000000002</v>
      </c>
      <c r="F20" s="735">
        <f>[1]Sheet1!BD35/10^6</f>
        <v>83.200406022100012</v>
      </c>
      <c r="G20" s="1799">
        <f>14459484/10^7</f>
        <v>1.4459484</v>
      </c>
      <c r="H20" s="1799">
        <f>82354728/10^7</f>
        <v>8.2354728000000001</v>
      </c>
      <c r="I20" s="1799">
        <f>-201523/10^7</f>
        <v>-2.0152300000000001E-2</v>
      </c>
      <c r="J20" s="735">
        <f>[8]Sheet1!$F$385/10^7</f>
        <v>0.30236133595600007</v>
      </c>
      <c r="K20" s="736">
        <f t="shared" si="1"/>
        <v>9.9636302359560016</v>
      </c>
      <c r="L20" s="727">
        <f t="shared" si="2"/>
        <v>1.4459484</v>
      </c>
      <c r="M20" s="727">
        <f t="shared" si="3"/>
        <v>8.5176818359560009</v>
      </c>
      <c r="N20" s="727">
        <f t="shared" si="4"/>
        <v>9.9636302359560016</v>
      </c>
      <c r="O20" s="728">
        <f t="shared" si="5"/>
        <v>119.75458669407723</v>
      </c>
    </row>
    <row r="21" spans="1:15" x14ac:dyDescent="0.25">
      <c r="A21" s="714">
        <v>13</v>
      </c>
      <c r="B21" s="733" t="s">
        <v>250</v>
      </c>
      <c r="C21" s="734">
        <v>17.2</v>
      </c>
      <c r="D21" s="730">
        <v>47.21</v>
      </c>
      <c r="E21" s="731">
        <f t="shared" si="0"/>
        <v>8.12012</v>
      </c>
      <c r="F21" s="735">
        <f>[1]Sheet1!BD37/10^6</f>
        <v>18.335296298780001</v>
      </c>
      <c r="G21" s="1800"/>
      <c r="H21" s="1800"/>
      <c r="I21" s="1800"/>
      <c r="J21" s="735"/>
      <c r="K21" s="737"/>
      <c r="L21" s="727"/>
      <c r="M21" s="727"/>
      <c r="N21" s="727">
        <f t="shared" si="4"/>
        <v>0</v>
      </c>
      <c r="O21" s="728">
        <f t="shared" si="5"/>
        <v>0</v>
      </c>
    </row>
    <row r="22" spans="1:15" x14ac:dyDescent="0.25">
      <c r="A22" s="714">
        <v>14</v>
      </c>
      <c r="B22" s="733" t="s">
        <v>251</v>
      </c>
      <c r="C22" s="734">
        <v>28</v>
      </c>
      <c r="D22" s="730">
        <v>47.21</v>
      </c>
      <c r="E22" s="731">
        <f t="shared" si="0"/>
        <v>13.2188</v>
      </c>
      <c r="F22" s="735">
        <f>[1]Sheet1!BD36/10^6</f>
        <v>22.757666622680002</v>
      </c>
      <c r="G22" s="735">
        <f>[8]Sheet1!C387/10^7</f>
        <v>0.15225225000000003</v>
      </c>
      <c r="H22" s="735">
        <f>[8]Sheet1!D387/10^7</f>
        <v>1.5001014937586643</v>
      </c>
      <c r="I22" s="735">
        <f>[8]Sheet1!E387/10^7</f>
        <v>0</v>
      </c>
      <c r="J22" s="735">
        <f>[8]Sheet1!F387/10^7</f>
        <v>9.100366610095996E-2</v>
      </c>
      <c r="K22" s="727">
        <f t="shared" si="1"/>
        <v>1.7433574098596243</v>
      </c>
      <c r="L22" s="727">
        <f t="shared" si="2"/>
        <v>0.15225225000000003</v>
      </c>
      <c r="M22" s="727">
        <f t="shared" si="3"/>
        <v>1.5911051598596242</v>
      </c>
      <c r="N22" s="727">
        <f t="shared" si="4"/>
        <v>1.7433574098596243</v>
      </c>
      <c r="O22" s="728">
        <f t="shared" si="5"/>
        <v>76.605279388450853</v>
      </c>
    </row>
    <row r="23" spans="1:15" x14ac:dyDescent="0.25">
      <c r="A23" s="714">
        <v>15</v>
      </c>
      <c r="B23" s="733" t="s">
        <v>252</v>
      </c>
      <c r="C23" s="734">
        <v>139.19999999999999</v>
      </c>
      <c r="D23" s="730">
        <v>47.21</v>
      </c>
      <c r="E23" s="731">
        <f t="shared" si="0"/>
        <v>65.716319999999996</v>
      </c>
      <c r="F23" s="735">
        <f>[1]Sheet1!BD34/10^6</f>
        <v>87.7980546</v>
      </c>
      <c r="G23" s="735">
        <f>[8]Sheet1!C384/10^7</f>
        <v>1.095272</v>
      </c>
      <c r="H23" s="735">
        <f>[8]Sheet1!D384/10^7</f>
        <v>5.8988989419999989</v>
      </c>
      <c r="I23" s="735">
        <f>[8]Sheet1!E384/10^7</f>
        <v>0.25178414879999994</v>
      </c>
      <c r="J23" s="735">
        <f>[8]Sheet1!F384/10^7</f>
        <v>0.32889777292360001</v>
      </c>
      <c r="K23" s="727">
        <f t="shared" si="1"/>
        <v>7.5748528637235983</v>
      </c>
      <c r="L23" s="727">
        <f t="shared" si="2"/>
        <v>1.095272</v>
      </c>
      <c r="M23" s="727">
        <f t="shared" si="3"/>
        <v>6.4795808637235988</v>
      </c>
      <c r="N23" s="727">
        <f t="shared" si="4"/>
        <v>7.5748528637235992</v>
      </c>
      <c r="O23" s="728">
        <f t="shared" si="5"/>
        <v>86.275862241298455</v>
      </c>
    </row>
    <row r="24" spans="1:15" x14ac:dyDescent="0.25">
      <c r="A24" s="714"/>
      <c r="B24" s="739" t="s">
        <v>687</v>
      </c>
      <c r="C24" s="740">
        <f>SUM(C8:C23)</f>
        <v>3273.3499999999995</v>
      </c>
      <c r="D24" s="740"/>
      <c r="E24" s="740">
        <f>SUM(E8:E23)</f>
        <v>898.90921000000014</v>
      </c>
      <c r="F24" s="740">
        <f>SUM(F8:F23)</f>
        <v>1744.1988193915599</v>
      </c>
      <c r="G24" s="740">
        <f t="shared" ref="G24:M24" si="6">SUM(G8:G23)</f>
        <v>35.994092735199892</v>
      </c>
      <c r="H24" s="740">
        <f t="shared" si="6"/>
        <v>144.05265331069654</v>
      </c>
      <c r="I24" s="740">
        <f t="shared" si="6"/>
        <v>1.2733333729670049</v>
      </c>
      <c r="J24" s="740">
        <f t="shared" si="6"/>
        <v>8.0819487210533989</v>
      </c>
      <c r="K24" s="740">
        <f>SUM(K8:K23)</f>
        <v>189.40202813991684</v>
      </c>
      <c r="L24" s="741">
        <f t="shared" si="6"/>
        <v>35.994092735199892</v>
      </c>
      <c r="M24" s="741">
        <f t="shared" si="6"/>
        <v>153.40793540471702</v>
      </c>
      <c r="N24" s="742">
        <f>SUM(N8:N23)</f>
        <v>189.40202813991687</v>
      </c>
      <c r="O24" s="728">
        <f t="shared" si="5"/>
        <v>108.58970091837763</v>
      </c>
    </row>
    <row r="25" spans="1:15" ht="27" customHeight="1" x14ac:dyDescent="0.25">
      <c r="A25" s="714" t="s">
        <v>532</v>
      </c>
      <c r="B25" s="729" t="s">
        <v>133</v>
      </c>
      <c r="C25" s="730"/>
      <c r="D25" s="730"/>
      <c r="E25" s="731"/>
      <c r="F25" s="727"/>
      <c r="G25" s="743" t="s">
        <v>688</v>
      </c>
      <c r="H25" s="743" t="s">
        <v>689</v>
      </c>
      <c r="I25" s="744"/>
      <c r="J25" s="727"/>
      <c r="K25" s="727"/>
      <c r="L25" s="727"/>
      <c r="M25" s="727"/>
      <c r="N25" s="727"/>
      <c r="O25" s="728"/>
    </row>
    <row r="26" spans="1:15" x14ac:dyDescent="0.25">
      <c r="A26" s="714">
        <v>1</v>
      </c>
      <c r="B26" s="729" t="s">
        <v>690</v>
      </c>
      <c r="C26" s="730">
        <v>1470</v>
      </c>
      <c r="D26" s="730">
        <v>67.5</v>
      </c>
      <c r="E26" s="731">
        <f>C26*D26%</f>
        <v>992.25000000000011</v>
      </c>
      <c r="F26" s="732">
        <f>[1]Sheet1!BD59/10^6</f>
        <v>5489.4264345000001</v>
      </c>
      <c r="G26" s="727">
        <f>[8]Sheet1!$C$392/10^7</f>
        <v>511.45949426580222</v>
      </c>
      <c r="H26" s="727">
        <f>[8]Sheet1!$D$392/10^7+[8]Sheet1!$E$392/10^7</f>
        <v>1634.1507023365541</v>
      </c>
      <c r="I26" s="727"/>
      <c r="J26" s="727"/>
      <c r="K26" s="727">
        <f>G26+H26</f>
        <v>2145.6101966023562</v>
      </c>
      <c r="L26" s="727">
        <f t="shared" ref="L26:L31" si="7">G26</f>
        <v>511.45949426580222</v>
      </c>
      <c r="M26" s="727">
        <f>H26+I26</f>
        <v>1634.1507023365541</v>
      </c>
      <c r="N26" s="727">
        <f>K26</f>
        <v>2145.6101966023562</v>
      </c>
      <c r="O26" s="728">
        <f t="shared" si="5"/>
        <v>390.86236462112043</v>
      </c>
    </row>
    <row r="27" spans="1:15" x14ac:dyDescent="0.25">
      <c r="A27" s="714">
        <v>2</v>
      </c>
      <c r="B27" s="729" t="s">
        <v>691</v>
      </c>
      <c r="C27" s="730">
        <v>250</v>
      </c>
      <c r="D27" s="730">
        <v>47.21</v>
      </c>
      <c r="E27" s="731">
        <f>C27*D27%</f>
        <v>118.02500000000001</v>
      </c>
      <c r="F27" s="732">
        <f>[1]Sheet1!BD60/10^6</f>
        <v>799.04313100000002</v>
      </c>
      <c r="G27" s="727">
        <f>[8]Sheet1!$C$393/10^7</f>
        <v>109.59779506929915</v>
      </c>
      <c r="H27" s="745">
        <f>[8]Sheet1!$D$393/10^7</f>
        <v>230.53224969155002</v>
      </c>
      <c r="I27" s="727"/>
      <c r="J27" s="727"/>
      <c r="K27" s="727">
        <f>G27+H27</f>
        <v>340.13004476084916</v>
      </c>
      <c r="L27" s="727">
        <f t="shared" si="7"/>
        <v>109.59779506929915</v>
      </c>
      <c r="M27" s="727">
        <f>H27+I27</f>
        <v>230.53224969155002</v>
      </c>
      <c r="N27" s="727">
        <f>K27</f>
        <v>340.13004476084916</v>
      </c>
      <c r="O27" s="728">
        <f t="shared" si="5"/>
        <v>425.6716960136776</v>
      </c>
    </row>
    <row r="28" spans="1:15" x14ac:dyDescent="0.25">
      <c r="A28" s="714">
        <v>3</v>
      </c>
      <c r="B28" s="729" t="s">
        <v>776</v>
      </c>
      <c r="C28" s="730">
        <v>500</v>
      </c>
      <c r="D28" s="730">
        <v>47.21</v>
      </c>
      <c r="E28" s="731">
        <f>C28*D28%</f>
        <v>236.05</v>
      </c>
      <c r="F28" s="746">
        <f>[1]Sheet1!BD61/10^6</f>
        <v>587.17206441000008</v>
      </c>
      <c r="G28" s="727">
        <f>[8]Sheet1!$C$394/10^7</f>
        <v>63.298934899078013</v>
      </c>
      <c r="H28" s="745">
        <f>[8]Sheet1!$D$394/10^7</f>
        <v>207.56013354361596</v>
      </c>
      <c r="I28" s="727"/>
      <c r="J28" s="727"/>
      <c r="K28" s="727">
        <f>G28+H28</f>
        <v>270.85906844269397</v>
      </c>
      <c r="L28" s="727">
        <f t="shared" si="7"/>
        <v>63.298934899078013</v>
      </c>
      <c r="M28" s="727">
        <f>H28+I28</f>
        <v>207.56013354361596</v>
      </c>
      <c r="N28" s="727">
        <f>K28</f>
        <v>270.85906844269397</v>
      </c>
      <c r="O28" s="728">
        <f t="shared" si="5"/>
        <v>461.2942012404107</v>
      </c>
    </row>
    <row r="29" spans="1:15" x14ac:dyDescent="0.25">
      <c r="A29" s="714">
        <v>4</v>
      </c>
      <c r="B29" s="729" t="s">
        <v>777</v>
      </c>
      <c r="C29" s="730">
        <v>500</v>
      </c>
      <c r="D29" s="730">
        <v>47.21</v>
      </c>
      <c r="E29" s="731">
        <f>C29*D29%</f>
        <v>236.05</v>
      </c>
      <c r="F29" s="732">
        <f>[1]Sheet1!BD62/10^6</f>
        <v>812.90011478999998</v>
      </c>
      <c r="G29" s="727">
        <f>[8]Sheet1!$C$395/10^7</f>
        <v>181.79457625435001</v>
      </c>
      <c r="H29" s="727">
        <f>[8]Sheet1!$D$395/10^7</f>
        <v>229.10601789012918</v>
      </c>
      <c r="I29" s="727"/>
      <c r="J29" s="727"/>
      <c r="K29" s="727">
        <f>G29+H29</f>
        <v>410.90059414447921</v>
      </c>
      <c r="L29" s="727">
        <f t="shared" si="7"/>
        <v>181.79457625435001</v>
      </c>
      <c r="M29" s="727">
        <f>H29+I29</f>
        <v>229.10601789012918</v>
      </c>
      <c r="N29" s="727">
        <f>K29</f>
        <v>410.90059414447921</v>
      </c>
      <c r="O29" s="728">
        <f t="shared" si="5"/>
        <v>505.47488758890012</v>
      </c>
    </row>
    <row r="30" spans="1:15" x14ac:dyDescent="0.25">
      <c r="A30" s="714">
        <v>5</v>
      </c>
      <c r="B30" s="729" t="s">
        <v>796</v>
      </c>
      <c r="C30" s="730">
        <v>700</v>
      </c>
      <c r="D30" s="730">
        <v>47.21</v>
      </c>
      <c r="E30" s="731">
        <f>C30*D30%</f>
        <v>330.47</v>
      </c>
      <c r="F30" s="732">
        <f>[1]Sheet1!BD63/10^6</f>
        <v>359.16839060000001</v>
      </c>
      <c r="G30" s="727">
        <f>[8]Sheet1!$C$396/10^7</f>
        <v>86.64000498791502</v>
      </c>
      <c r="H30" s="727">
        <f>[8]Sheet1!$D$396/10^7</f>
        <v>111.22043773122</v>
      </c>
      <c r="I30" s="727"/>
      <c r="J30" s="727"/>
      <c r="K30" s="727">
        <f>G30+H30</f>
        <v>197.86044271913502</v>
      </c>
      <c r="L30" s="727">
        <f t="shared" si="7"/>
        <v>86.64000498791502</v>
      </c>
      <c r="M30" s="727">
        <f>H30+I30</f>
        <v>111.22043773122</v>
      </c>
      <c r="N30" s="727">
        <f>K30</f>
        <v>197.86044271913502</v>
      </c>
      <c r="O30" s="728">
        <f t="shared" si="5"/>
        <v>550.88489938828991</v>
      </c>
    </row>
    <row r="31" spans="1:15" x14ac:dyDescent="0.25">
      <c r="A31" s="714"/>
      <c r="B31" s="729" t="s">
        <v>692</v>
      </c>
      <c r="C31" s="727"/>
      <c r="D31" s="727"/>
      <c r="E31" s="727"/>
      <c r="F31" s="727">
        <f>[1]Sheet4!C31</f>
        <v>0</v>
      </c>
      <c r="G31" s="727"/>
      <c r="H31" s="727"/>
      <c r="I31" s="727"/>
      <c r="J31" s="727"/>
      <c r="K31" s="727">
        <v>-0.35</v>
      </c>
      <c r="L31" s="727">
        <f t="shared" si="7"/>
        <v>0</v>
      </c>
      <c r="M31" s="727"/>
      <c r="N31" s="727">
        <f>[1]Sheet1!BG39/10^7</f>
        <v>-0.52924559999999998</v>
      </c>
      <c r="O31" s="728"/>
    </row>
    <row r="32" spans="1:15" x14ac:dyDescent="0.25">
      <c r="A32" s="714">
        <v>6</v>
      </c>
      <c r="B32" s="729" t="s">
        <v>797</v>
      </c>
      <c r="C32" s="727">
        <v>1600</v>
      </c>
      <c r="D32" s="730">
        <v>47.21</v>
      </c>
      <c r="E32" s="731">
        <f>C32*D32%</f>
        <v>755.36</v>
      </c>
      <c r="F32" s="727">
        <f>[1]Sheet1!BD64/10^6</f>
        <v>404.93527720000003</v>
      </c>
      <c r="G32" s="727"/>
      <c r="H32" s="727"/>
      <c r="I32" s="727"/>
      <c r="J32" s="727"/>
      <c r="K32" s="727">
        <f>[1]Sheet1!BG64/10^7</f>
        <v>283.64116166258833</v>
      </c>
      <c r="L32" s="727"/>
      <c r="M32" s="727"/>
      <c r="N32" s="727">
        <f>K32</f>
        <v>283.64116166258833</v>
      </c>
      <c r="O32" s="728">
        <f t="shared" si="5"/>
        <v>700.46048747315297</v>
      </c>
    </row>
    <row r="33" spans="1:15" x14ac:dyDescent="0.25">
      <c r="A33" s="714"/>
      <c r="B33" s="747" t="s">
        <v>134</v>
      </c>
      <c r="C33" s="748">
        <f>SUM(C26:C32)</f>
        <v>5020</v>
      </c>
      <c r="D33" s="748"/>
      <c r="E33" s="748">
        <f t="shared" ref="E33:M33" si="8">SUM(E26:E31)</f>
        <v>1912.845</v>
      </c>
      <c r="F33" s="749">
        <f>SUM(F26:F32)</f>
        <v>8452.6454125</v>
      </c>
      <c r="G33" s="748">
        <f t="shared" si="8"/>
        <v>952.79080547644446</v>
      </c>
      <c r="H33" s="748">
        <f t="shared" si="8"/>
        <v>2412.5695411930697</v>
      </c>
      <c r="I33" s="748">
        <f t="shared" si="8"/>
        <v>0</v>
      </c>
      <c r="J33" s="748">
        <f t="shared" si="8"/>
        <v>0</v>
      </c>
      <c r="K33" s="749">
        <f>SUM(K26:K32)</f>
        <v>3648.6515083321019</v>
      </c>
      <c r="L33" s="748">
        <f t="shared" si="8"/>
        <v>952.79080547644446</v>
      </c>
      <c r="M33" s="748">
        <f t="shared" si="8"/>
        <v>2412.5695411930697</v>
      </c>
      <c r="N33" s="749">
        <f>SUM(N26:N32)</f>
        <v>3648.4722627321016</v>
      </c>
      <c r="O33" s="728">
        <f t="shared" si="5"/>
        <v>431.63673438100722</v>
      </c>
    </row>
    <row r="34" spans="1:15" hidden="1" x14ac:dyDescent="0.25">
      <c r="A34" s="714"/>
      <c r="B34" s="729" t="s">
        <v>693</v>
      </c>
      <c r="C34" s="730"/>
      <c r="D34" s="730"/>
      <c r="E34" s="731"/>
      <c r="F34" s="732"/>
      <c r="G34" s="744"/>
      <c r="H34" s="744"/>
      <c r="I34" s="744"/>
      <c r="J34" s="727"/>
      <c r="K34" s="744"/>
      <c r="L34" s="744"/>
      <c r="M34" s="744"/>
      <c r="N34" s="727"/>
      <c r="O34" s="728"/>
    </row>
    <row r="35" spans="1:15" ht="15" hidden="1" customHeight="1" x14ac:dyDescent="0.25">
      <c r="A35" s="714">
        <v>8</v>
      </c>
      <c r="B35" s="729" t="s">
        <v>505</v>
      </c>
      <c r="C35" s="730"/>
      <c r="D35" s="730"/>
      <c r="E35" s="731"/>
      <c r="F35" s="732"/>
      <c r="G35" s="727"/>
      <c r="H35" s="727"/>
      <c r="I35" s="727"/>
      <c r="J35" s="727"/>
      <c r="K35" s="727"/>
      <c r="L35" s="727"/>
      <c r="M35" s="727"/>
      <c r="N35" s="727"/>
      <c r="O35" s="728"/>
    </row>
    <row r="36" spans="1:15" ht="15" hidden="1" customHeight="1" x14ac:dyDescent="0.25">
      <c r="A36" s="714"/>
      <c r="B36" s="750"/>
      <c r="C36" s="724"/>
      <c r="D36" s="724"/>
      <c r="E36" s="725"/>
      <c r="F36" s="744"/>
      <c r="G36" s="727"/>
      <c r="H36" s="727"/>
      <c r="I36" s="727"/>
      <c r="J36" s="727"/>
      <c r="K36" s="727"/>
      <c r="L36" s="727"/>
      <c r="M36" s="727"/>
      <c r="N36" s="727">
        <f>L36+M36</f>
        <v>0</v>
      </c>
      <c r="O36" s="728"/>
    </row>
    <row r="37" spans="1:15" hidden="1" x14ac:dyDescent="0.25">
      <c r="A37" s="714"/>
      <c r="B37" s="751"/>
      <c r="C37" s="744">
        <f>C34+C35</f>
        <v>0</v>
      </c>
      <c r="D37" s="744"/>
      <c r="E37" s="744">
        <f>E34+E35</f>
        <v>0</v>
      </c>
      <c r="F37" s="744">
        <f>F34+F35</f>
        <v>0</v>
      </c>
      <c r="G37" s="744">
        <f t="shared" ref="G37:M37" si="9">G34+G35</f>
        <v>0</v>
      </c>
      <c r="H37" s="744">
        <f t="shared" si="9"/>
        <v>0</v>
      </c>
      <c r="I37" s="744">
        <f t="shared" si="9"/>
        <v>0</v>
      </c>
      <c r="J37" s="744">
        <f t="shared" si="9"/>
        <v>0</v>
      </c>
      <c r="K37" s="744">
        <f t="shared" si="9"/>
        <v>0</v>
      </c>
      <c r="L37" s="744">
        <f t="shared" si="9"/>
        <v>0</v>
      </c>
      <c r="M37" s="744">
        <f t="shared" si="9"/>
        <v>0</v>
      </c>
      <c r="N37" s="727">
        <f>L37+M37</f>
        <v>0</v>
      </c>
      <c r="O37" s="752" t="e">
        <f>N37/F37*1000</f>
        <v>#DIV/0!</v>
      </c>
    </row>
    <row r="38" spans="1:15" x14ac:dyDescent="0.25">
      <c r="A38" s="714"/>
      <c r="B38" s="747" t="s">
        <v>135</v>
      </c>
      <c r="C38" s="725">
        <f>C24+C33+C37</f>
        <v>8293.3499999999985</v>
      </c>
      <c r="D38" s="725"/>
      <c r="E38" s="725">
        <f t="shared" ref="E38:N38" si="10">E24+E33+E37</f>
        <v>2811.7542100000001</v>
      </c>
      <c r="F38" s="753">
        <f t="shared" si="10"/>
        <v>10196.84423189156</v>
      </c>
      <c r="G38" s="754">
        <f t="shared" si="10"/>
        <v>988.7848982116443</v>
      </c>
      <c r="H38" s="754">
        <f t="shared" si="10"/>
        <v>2556.622194503766</v>
      </c>
      <c r="I38" s="754">
        <f t="shared" si="10"/>
        <v>1.2733333729670049</v>
      </c>
      <c r="J38" s="754">
        <f t="shared" si="10"/>
        <v>8.0819487210533989</v>
      </c>
      <c r="K38" s="754">
        <f t="shared" si="10"/>
        <v>3838.0535364720185</v>
      </c>
      <c r="L38" s="754">
        <f t="shared" si="10"/>
        <v>988.7848982116443</v>
      </c>
      <c r="M38" s="754">
        <f t="shared" si="10"/>
        <v>2565.9774765977868</v>
      </c>
      <c r="N38" s="753">
        <f t="shared" si="10"/>
        <v>3837.8742908720187</v>
      </c>
      <c r="O38" s="755">
        <f>N38/F38*1000</f>
        <v>376.3786327998144</v>
      </c>
    </row>
    <row r="39" spans="1:15" x14ac:dyDescent="0.25">
      <c r="A39" s="714" t="s">
        <v>196</v>
      </c>
      <c r="B39" s="756" t="s">
        <v>136</v>
      </c>
      <c r="C39" s="757"/>
      <c r="D39" s="757"/>
      <c r="E39" s="741"/>
      <c r="F39" s="744"/>
      <c r="G39" s="727"/>
      <c r="H39" s="727"/>
      <c r="I39" s="727"/>
      <c r="J39" s="727"/>
      <c r="K39" s="727"/>
      <c r="L39" s="727"/>
      <c r="M39" s="727"/>
      <c r="N39" s="727"/>
      <c r="O39" s="728"/>
    </row>
    <row r="40" spans="1:15" x14ac:dyDescent="0.25">
      <c r="A40" s="714">
        <v>1</v>
      </c>
      <c r="B40" s="758" t="s">
        <v>778</v>
      </c>
      <c r="C40" s="734">
        <v>364</v>
      </c>
      <c r="D40" s="730">
        <v>47.21</v>
      </c>
      <c r="E40" s="759">
        <f>C40*D40%</f>
        <v>171.84440000000001</v>
      </c>
      <c r="F40" s="732">
        <f>[1]Sheet1!BD5/10^6</f>
        <v>1376.1343077893998</v>
      </c>
      <c r="G40" s="760">
        <f>[9]Sheet1!$AY$3/10^7</f>
        <v>88.294328500000006</v>
      </c>
      <c r="H40" s="727">
        <f>[9]Sheet1!$AZ$3/10^7</f>
        <v>451.49377920000001</v>
      </c>
      <c r="I40" s="727"/>
      <c r="J40" s="727"/>
      <c r="K40" s="727">
        <f>G40+H40</f>
        <v>539.78810769999996</v>
      </c>
      <c r="L40" s="727">
        <f t="shared" ref="L40:L46" si="11">G40</f>
        <v>88.294328500000006</v>
      </c>
      <c r="M40" s="727">
        <f>H40+I40</f>
        <v>451.49377920000001</v>
      </c>
      <c r="N40" s="742">
        <f>K40</f>
        <v>539.78810769999996</v>
      </c>
      <c r="O40" s="728">
        <f t="shared" ref="O40:O47" si="12">N40/F40*1000</f>
        <v>392.24958250412851</v>
      </c>
    </row>
    <row r="41" spans="1:15" x14ac:dyDescent="0.25">
      <c r="A41" s="714">
        <v>2</v>
      </c>
      <c r="B41" s="729" t="s">
        <v>621</v>
      </c>
      <c r="C41" s="734">
        <v>92.47</v>
      </c>
      <c r="D41" s="730">
        <v>47.21</v>
      </c>
      <c r="E41" s="759">
        <f t="shared" ref="E41:E63" si="13">C41*D41%</f>
        <v>43.655087000000002</v>
      </c>
      <c r="F41" s="732">
        <f>[1]Sheet1!BD7/10^6</f>
        <v>361.89462414370001</v>
      </c>
      <c r="G41" s="760">
        <f>[9]Sheet1!$AY$5/10^7</f>
        <v>23.616333300000001</v>
      </c>
      <c r="H41" s="727">
        <f>[9]Sheet1!$AZ$5/10^7</f>
        <v>75.8809586</v>
      </c>
      <c r="I41" s="727"/>
      <c r="J41" s="727"/>
      <c r="K41" s="727">
        <f t="shared" ref="K41:K58" si="14">G41+H41</f>
        <v>99.497291899999993</v>
      </c>
      <c r="L41" s="727">
        <f t="shared" si="11"/>
        <v>23.616333300000001</v>
      </c>
      <c r="M41" s="727">
        <f t="shared" ref="M41:M46" si="15">H41+I41</f>
        <v>75.8809586</v>
      </c>
      <c r="N41" s="742">
        <f t="shared" ref="N41:N63" si="16">K41</f>
        <v>99.497291899999993</v>
      </c>
      <c r="O41" s="728">
        <f t="shared" si="12"/>
        <v>274.93442914612598</v>
      </c>
    </row>
    <row r="42" spans="1:15" x14ac:dyDescent="0.25">
      <c r="A42" s="714">
        <v>3</v>
      </c>
      <c r="B42" s="729" t="s">
        <v>137</v>
      </c>
      <c r="C42" s="734">
        <v>343.33</v>
      </c>
      <c r="D42" s="730">
        <v>47.21</v>
      </c>
      <c r="E42" s="759">
        <f t="shared" si="13"/>
        <v>162.08609300000001</v>
      </c>
      <c r="F42" s="732">
        <f>[1]Sheet1!BD6/10^6</f>
        <v>1247.5512593308999</v>
      </c>
      <c r="G42" s="760">
        <f>[9]Sheet1!$AY$4/10^7</f>
        <v>73.7979457</v>
      </c>
      <c r="H42" s="727">
        <f>[9]Sheet1!$AZ$4/10^7</f>
        <v>182.22167189999999</v>
      </c>
      <c r="I42" s="727"/>
      <c r="J42" s="727"/>
      <c r="K42" s="727">
        <f t="shared" si="14"/>
        <v>256.0196176</v>
      </c>
      <c r="L42" s="727">
        <f t="shared" si="11"/>
        <v>73.7979457</v>
      </c>
      <c r="M42" s="727">
        <f t="shared" si="15"/>
        <v>182.22167189999999</v>
      </c>
      <c r="N42" s="742">
        <f t="shared" si="16"/>
        <v>256.0196176</v>
      </c>
      <c r="O42" s="728">
        <f t="shared" si="12"/>
        <v>205.21771404993106</v>
      </c>
    </row>
    <row r="43" spans="1:15" x14ac:dyDescent="0.25">
      <c r="A43" s="714">
        <v>4</v>
      </c>
      <c r="B43" s="729" t="s">
        <v>779</v>
      </c>
      <c r="C43" s="734">
        <v>181.33</v>
      </c>
      <c r="D43" s="730">
        <v>47.21</v>
      </c>
      <c r="E43" s="759">
        <f t="shared" si="13"/>
        <v>85.605893000000009</v>
      </c>
      <c r="F43" s="732">
        <f>[1]Sheet1!BD8/10^6</f>
        <v>694.73578229050008</v>
      </c>
      <c r="G43" s="760">
        <f>[9]Sheet1!$AY$6/10^7</f>
        <v>107.9890317</v>
      </c>
      <c r="H43" s="727">
        <f>[9]Sheet1!$AZ$6/10^7</f>
        <v>187.3467521</v>
      </c>
      <c r="I43" s="727"/>
      <c r="J43" s="727"/>
      <c r="K43" s="727">
        <f t="shared" si="14"/>
        <v>295.3357838</v>
      </c>
      <c r="L43" s="727">
        <f t="shared" si="11"/>
        <v>107.9890317</v>
      </c>
      <c r="M43" s="727">
        <f t="shared" si="15"/>
        <v>187.3467521</v>
      </c>
      <c r="N43" s="742">
        <f t="shared" si="16"/>
        <v>295.3357838</v>
      </c>
      <c r="O43" s="728">
        <f t="shared" si="12"/>
        <v>425.10518578199111</v>
      </c>
    </row>
    <row r="44" spans="1:15" x14ac:dyDescent="0.25">
      <c r="A44" s="714">
        <v>5</v>
      </c>
      <c r="B44" s="729" t="s">
        <v>138</v>
      </c>
      <c r="C44" s="720">
        <v>106.31</v>
      </c>
      <c r="D44" s="730">
        <v>47.21</v>
      </c>
      <c r="E44" s="759">
        <f t="shared" si="13"/>
        <v>50.188951000000003</v>
      </c>
      <c r="F44" s="732">
        <f>[1]Sheet1!BD12/10^6</f>
        <v>511.43361833739999</v>
      </c>
      <c r="G44" s="760">
        <f>[9]Sheet1!$AY$9/10^7</f>
        <v>63.6464699</v>
      </c>
      <c r="H44" s="727">
        <f>[9]Sheet1!$AZ$9/10^7</f>
        <v>146.57459979999999</v>
      </c>
      <c r="I44" s="727"/>
      <c r="J44" s="727"/>
      <c r="K44" s="727">
        <f t="shared" si="14"/>
        <v>210.22106969999999</v>
      </c>
      <c r="L44" s="727">
        <f t="shared" si="11"/>
        <v>63.6464699</v>
      </c>
      <c r="M44" s="727">
        <f t="shared" si="15"/>
        <v>146.57459979999999</v>
      </c>
      <c r="N44" s="742">
        <f t="shared" si="16"/>
        <v>210.22106969999999</v>
      </c>
      <c r="O44" s="728">
        <f t="shared" si="12"/>
        <v>411.04272805413075</v>
      </c>
    </row>
    <row r="45" spans="1:15" x14ac:dyDescent="0.25">
      <c r="A45" s="714">
        <v>6</v>
      </c>
      <c r="B45" s="729" t="s">
        <v>139</v>
      </c>
      <c r="C45" s="720">
        <v>143.49</v>
      </c>
      <c r="D45" s="730">
        <v>47.21</v>
      </c>
      <c r="E45" s="759">
        <f t="shared" si="13"/>
        <v>67.741629000000003</v>
      </c>
      <c r="F45" s="732">
        <f>[1]Sheet1!BD13/10^6</f>
        <v>642.82966036589994</v>
      </c>
      <c r="G45" s="761">
        <f>[9]Sheet1!$AY$10/10^7</f>
        <v>39.444467400000001</v>
      </c>
      <c r="H45" s="727">
        <f>[9]Sheet1!$AZ$10/10^7</f>
        <v>177.44805579999999</v>
      </c>
      <c r="I45" s="738"/>
      <c r="J45" s="738"/>
      <c r="K45" s="727">
        <f t="shared" si="14"/>
        <v>216.8925232</v>
      </c>
      <c r="L45" s="738">
        <f t="shared" si="11"/>
        <v>39.444467400000001</v>
      </c>
      <c r="M45" s="727">
        <f t="shared" si="15"/>
        <v>177.44805579999999</v>
      </c>
      <c r="N45" s="742">
        <f t="shared" si="16"/>
        <v>216.8925232</v>
      </c>
      <c r="O45" s="728">
        <f t="shared" si="12"/>
        <v>337.40279357449737</v>
      </c>
    </row>
    <row r="46" spans="1:15" x14ac:dyDescent="0.25">
      <c r="A46" s="714">
        <v>7</v>
      </c>
      <c r="B46" s="729" t="s">
        <v>798</v>
      </c>
      <c r="C46" s="720">
        <v>97.08</v>
      </c>
      <c r="D46" s="730">
        <v>47.21</v>
      </c>
      <c r="E46" s="759">
        <f t="shared" si="13"/>
        <v>45.831468000000001</v>
      </c>
      <c r="F46" s="732">
        <f>[1]Sheet1!BD10/10^6</f>
        <v>365.31962100359999</v>
      </c>
      <c r="G46" s="760">
        <f>[9]Sheet1!$AY$7/10^7</f>
        <v>41.747889299999997</v>
      </c>
      <c r="H46" s="727">
        <f>[9]Sheet1!$AZ$7/10^7</f>
        <v>107.0898627</v>
      </c>
      <c r="I46" s="727"/>
      <c r="J46" s="727"/>
      <c r="K46" s="727">
        <f t="shared" si="14"/>
        <v>148.83775199999999</v>
      </c>
      <c r="L46" s="727">
        <f t="shared" si="11"/>
        <v>41.747889299999997</v>
      </c>
      <c r="M46" s="727">
        <f t="shared" si="15"/>
        <v>107.0898627</v>
      </c>
      <c r="N46" s="742">
        <f t="shared" si="16"/>
        <v>148.83775199999999</v>
      </c>
      <c r="O46" s="728">
        <f t="shared" si="12"/>
        <v>407.41789776063877</v>
      </c>
    </row>
    <row r="47" spans="1:15" x14ac:dyDescent="0.25">
      <c r="A47" s="714">
        <v>8</v>
      </c>
      <c r="B47" s="729" t="s">
        <v>799</v>
      </c>
      <c r="C47" s="720">
        <v>97.08</v>
      </c>
      <c r="D47" s="730">
        <v>47.21</v>
      </c>
      <c r="E47" s="759">
        <f t="shared" si="13"/>
        <v>45.831468000000001</v>
      </c>
      <c r="F47" s="732">
        <f>[1]Sheet1!BD11/10^6</f>
        <v>222.72315067220001</v>
      </c>
      <c r="G47" s="727">
        <f>[9]Sheet1!$AY$8/10^7</f>
        <v>60.249981699999999</v>
      </c>
      <c r="H47" s="727">
        <f>[9]Sheet1!$AZ$8/10^7</f>
        <v>57.244656800000001</v>
      </c>
      <c r="I47" s="727"/>
      <c r="J47" s="727"/>
      <c r="K47" s="727">
        <f t="shared" si="14"/>
        <v>117.49463850000001</v>
      </c>
      <c r="L47" s="727">
        <f>G47</f>
        <v>60.249981699999999</v>
      </c>
      <c r="M47" s="727">
        <f>H47+I47</f>
        <v>57.244656800000001</v>
      </c>
      <c r="N47" s="742">
        <f t="shared" si="16"/>
        <v>117.49463850000001</v>
      </c>
      <c r="O47" s="728">
        <f t="shared" si="12"/>
        <v>527.53671158741167</v>
      </c>
    </row>
    <row r="48" spans="1:15" ht="15" hidden="1" customHeight="1" x14ac:dyDescent="0.25">
      <c r="A48" s="714"/>
      <c r="B48" s="729" t="s">
        <v>694</v>
      </c>
      <c r="C48" s="720">
        <v>97.08</v>
      </c>
      <c r="D48" s="730">
        <v>47.21</v>
      </c>
      <c r="E48" s="759">
        <f t="shared" si="13"/>
        <v>45.831468000000001</v>
      </c>
      <c r="F48" s="732"/>
      <c r="G48" s="727"/>
      <c r="H48" s="727"/>
      <c r="I48" s="727"/>
      <c r="J48" s="727"/>
      <c r="K48" s="727">
        <f t="shared" si="14"/>
        <v>0</v>
      </c>
      <c r="L48" s="727"/>
      <c r="M48" s="727"/>
      <c r="N48" s="742">
        <f t="shared" si="16"/>
        <v>0</v>
      </c>
      <c r="O48" s="728"/>
    </row>
    <row r="49" spans="1:15" x14ac:dyDescent="0.25">
      <c r="A49" s="714">
        <v>9</v>
      </c>
      <c r="B49" s="729" t="s">
        <v>277</v>
      </c>
      <c r="C49" s="730">
        <v>25.975999999999999</v>
      </c>
      <c r="D49" s="730">
        <v>47.21</v>
      </c>
      <c r="E49" s="759">
        <f t="shared" si="13"/>
        <v>12.263269599999999</v>
      </c>
      <c r="F49" s="732">
        <f>[1]Sheet1!BD16/10^6</f>
        <v>98.772698341099996</v>
      </c>
      <c r="G49" s="727"/>
      <c r="H49" s="727">
        <f>[9]Sheet1!$AZ$12/10^7</f>
        <v>27.584192399999999</v>
      </c>
      <c r="I49" s="727"/>
      <c r="J49" s="727"/>
      <c r="K49" s="727">
        <f t="shared" si="14"/>
        <v>27.584192399999999</v>
      </c>
      <c r="L49" s="727"/>
      <c r="M49" s="727">
        <f>K49</f>
        <v>27.584192399999999</v>
      </c>
      <c r="N49" s="742">
        <f t="shared" si="16"/>
        <v>27.584192399999999</v>
      </c>
      <c r="O49" s="728">
        <f>N49/F49*1000</f>
        <v>279.26940200359019</v>
      </c>
    </row>
    <row r="50" spans="1:15" x14ac:dyDescent="0.25">
      <c r="A50" s="714">
        <v>10</v>
      </c>
      <c r="B50" s="729" t="s">
        <v>780</v>
      </c>
      <c r="C50" s="730">
        <v>131.60400000000001</v>
      </c>
      <c r="D50" s="730">
        <v>47.21</v>
      </c>
      <c r="E50" s="759">
        <f t="shared" si="13"/>
        <v>62.130248400000006</v>
      </c>
      <c r="F50" s="732">
        <f>([1]Sheet1!BD17+[1]Sheet1!BD18+[1]Sheet1!BD19)/10^6</f>
        <v>1044.7402665395002</v>
      </c>
      <c r="G50" s="727"/>
      <c r="H50" s="727">
        <f>[9]Sheet1!$AZ$13/10^7+[9]Sheet1!$BA$14/10^7</f>
        <v>382.44195460000003</v>
      </c>
      <c r="I50" s="727"/>
      <c r="J50" s="727"/>
      <c r="K50" s="727">
        <f t="shared" si="14"/>
        <v>382.44195460000003</v>
      </c>
      <c r="L50" s="727"/>
      <c r="M50" s="727">
        <f>K50</f>
        <v>382.44195460000003</v>
      </c>
      <c r="N50" s="742">
        <f t="shared" si="16"/>
        <v>382.44195460000003</v>
      </c>
      <c r="O50" s="728">
        <f>N50/F50*1000</f>
        <v>366.06414708869687</v>
      </c>
    </row>
    <row r="51" spans="1:15" ht="15" hidden="1" customHeight="1" x14ac:dyDescent="0.25">
      <c r="A51" s="714">
        <v>10</v>
      </c>
      <c r="B51" s="729" t="s">
        <v>695</v>
      </c>
      <c r="C51" s="730"/>
      <c r="D51" s="730">
        <v>47.21</v>
      </c>
      <c r="E51" s="759"/>
      <c r="F51" s="732"/>
      <c r="G51" s="727"/>
      <c r="H51" s="727"/>
      <c r="I51" s="727"/>
      <c r="J51" s="727"/>
      <c r="K51" s="727">
        <f t="shared" si="14"/>
        <v>0</v>
      </c>
      <c r="L51" s="727"/>
      <c r="M51" s="727"/>
      <c r="N51" s="742">
        <f t="shared" si="16"/>
        <v>0</v>
      </c>
      <c r="O51" s="728"/>
    </row>
    <row r="52" spans="1:15" x14ac:dyDescent="0.25">
      <c r="A52" s="714">
        <v>11</v>
      </c>
      <c r="B52" s="729" t="s">
        <v>800</v>
      </c>
      <c r="C52" s="730">
        <f>1000*18.28%</f>
        <v>182.8</v>
      </c>
      <c r="D52" s="730">
        <v>47.21</v>
      </c>
      <c r="E52" s="759">
        <f t="shared" si="13"/>
        <v>86.299880000000016</v>
      </c>
      <c r="F52" s="732">
        <f>[1]Sheet1!BD14/10^6</f>
        <v>598.54658423720002</v>
      </c>
      <c r="G52" s="727">
        <f>[9]Sheet1!$AY$11/10^7</f>
        <v>107.95350089999999</v>
      </c>
      <c r="H52" s="727">
        <f>[9]Sheet1!$AZ$11/10^7</f>
        <v>202.38384020000001</v>
      </c>
      <c r="I52" s="727"/>
      <c r="J52" s="727"/>
      <c r="K52" s="727">
        <f t="shared" si="14"/>
        <v>310.3373411</v>
      </c>
      <c r="L52" s="727">
        <f>G52</f>
        <v>107.95350089999999</v>
      </c>
      <c r="M52" s="727">
        <f>H52</f>
        <v>202.38384020000001</v>
      </c>
      <c r="N52" s="742">
        <f>K52</f>
        <v>310.3373411</v>
      </c>
      <c r="O52" s="728">
        <f>N52/F52*1000</f>
        <v>518.48485861046254</v>
      </c>
    </row>
    <row r="53" spans="1:15" ht="15" hidden="1" customHeight="1" x14ac:dyDescent="0.25">
      <c r="A53" s="714"/>
      <c r="B53" s="729" t="s">
        <v>696</v>
      </c>
      <c r="C53" s="730"/>
      <c r="D53" s="730">
        <v>47.21</v>
      </c>
      <c r="E53" s="759"/>
      <c r="F53" s="732"/>
      <c r="G53" s="727"/>
      <c r="H53" s="727"/>
      <c r="I53" s="727"/>
      <c r="J53" s="727"/>
      <c r="K53" s="727">
        <f t="shared" si="14"/>
        <v>0</v>
      </c>
      <c r="L53" s="727"/>
      <c r="M53" s="727"/>
      <c r="N53" s="742">
        <f t="shared" si="16"/>
        <v>0</v>
      </c>
      <c r="O53" s="728"/>
    </row>
    <row r="54" spans="1:15" x14ac:dyDescent="0.25">
      <c r="A54" s="714">
        <v>12</v>
      </c>
      <c r="B54" s="729" t="s">
        <v>781</v>
      </c>
      <c r="C54" s="730">
        <v>80.61</v>
      </c>
      <c r="D54" s="730">
        <v>47.21</v>
      </c>
      <c r="E54" s="759">
        <f t="shared" si="13"/>
        <v>38.055981000000003</v>
      </c>
      <c r="F54" s="732">
        <f>[1]Sheet1!BD20/10^6</f>
        <v>431.89661742110007</v>
      </c>
      <c r="G54" s="727">
        <f>[9]Sheet1!$AY$16/10^7</f>
        <v>90.136624299999994</v>
      </c>
      <c r="H54" s="727">
        <f>[9]Sheet1!$AZ$16/10^7</f>
        <v>125.8678225</v>
      </c>
      <c r="I54" s="727"/>
      <c r="J54" s="727"/>
      <c r="K54" s="727">
        <f t="shared" si="14"/>
        <v>216.00444679999998</v>
      </c>
      <c r="L54" s="727">
        <f>G54</f>
        <v>90.136624299999994</v>
      </c>
      <c r="M54" s="727">
        <f>H54</f>
        <v>125.8678225</v>
      </c>
      <c r="N54" s="727">
        <f t="shared" si="16"/>
        <v>216.00444679999998</v>
      </c>
      <c r="O54" s="728">
        <f>N54/F54*1000</f>
        <v>500.12998038693877</v>
      </c>
    </row>
    <row r="55" spans="1:15" ht="15" hidden="1" customHeight="1" x14ac:dyDescent="0.25">
      <c r="A55" s="714"/>
      <c r="B55" s="729" t="s">
        <v>697</v>
      </c>
      <c r="C55" s="730"/>
      <c r="D55" s="730">
        <v>47.21</v>
      </c>
      <c r="E55" s="759"/>
      <c r="F55" s="732"/>
      <c r="G55" s="727"/>
      <c r="H55" s="727"/>
      <c r="I55" s="727"/>
      <c r="J55" s="727"/>
      <c r="K55" s="727">
        <f t="shared" si="14"/>
        <v>0</v>
      </c>
      <c r="L55" s="727"/>
      <c r="M55" s="727"/>
      <c r="N55" s="727">
        <f t="shared" si="16"/>
        <v>0</v>
      </c>
      <c r="O55" s="728"/>
    </row>
    <row r="56" spans="1:15" ht="15" hidden="1" customHeight="1" x14ac:dyDescent="0.25">
      <c r="A56" s="714"/>
      <c r="B56" s="729" t="s">
        <v>716</v>
      </c>
      <c r="C56" s="730"/>
      <c r="D56" s="730">
        <v>47.21</v>
      </c>
      <c r="E56" s="759"/>
      <c r="F56" s="732"/>
      <c r="G56" s="727"/>
      <c r="H56" s="727"/>
      <c r="I56" s="727"/>
      <c r="J56" s="727"/>
      <c r="K56" s="727">
        <f t="shared" si="14"/>
        <v>0</v>
      </c>
      <c r="L56" s="727"/>
      <c r="M56" s="727"/>
      <c r="N56" s="727">
        <f t="shared" si="16"/>
        <v>0</v>
      </c>
      <c r="O56" s="728"/>
    </row>
    <row r="57" spans="1:15" ht="15" hidden="1" customHeight="1" x14ac:dyDescent="0.25">
      <c r="A57" s="714"/>
      <c r="B57" s="729" t="s">
        <v>717</v>
      </c>
      <c r="C57" s="730"/>
      <c r="D57" s="730">
        <v>47.21</v>
      </c>
      <c r="E57" s="759"/>
      <c r="F57" s="732"/>
      <c r="G57" s="727"/>
      <c r="H57" s="727"/>
      <c r="I57" s="727"/>
      <c r="J57" s="727"/>
      <c r="K57" s="727">
        <f t="shared" si="14"/>
        <v>0</v>
      </c>
      <c r="L57" s="727"/>
      <c r="M57" s="727"/>
      <c r="N57" s="727">
        <f t="shared" si="16"/>
        <v>0</v>
      </c>
      <c r="O57" s="728"/>
    </row>
    <row r="58" spans="1:15" x14ac:dyDescent="0.25">
      <c r="A58" s="714">
        <v>13</v>
      </c>
      <c r="B58" s="729" t="s">
        <v>782</v>
      </c>
      <c r="C58" s="730">
        <f>1000*21.42%</f>
        <v>214.20000000000002</v>
      </c>
      <c r="D58" s="730">
        <v>47.21</v>
      </c>
      <c r="E58" s="759">
        <f t="shared" si="13"/>
        <v>101.12382000000001</v>
      </c>
      <c r="F58" s="732">
        <f>[1]Sheet1!BD21/10^6</f>
        <v>848.03206599999999</v>
      </c>
      <c r="G58" s="727"/>
      <c r="H58" s="727">
        <f>[9]Sheet1!$BA$17/10^7+0.82</f>
        <v>351.69800779999997</v>
      </c>
      <c r="I58" s="727"/>
      <c r="J58" s="727"/>
      <c r="K58" s="727">
        <f t="shared" si="14"/>
        <v>351.69800779999997</v>
      </c>
      <c r="L58" s="727"/>
      <c r="M58" s="727"/>
      <c r="N58" s="727">
        <f t="shared" si="16"/>
        <v>351.69800779999997</v>
      </c>
      <c r="O58" s="728">
        <f>N58/F58*1000</f>
        <v>414.72253456038533</v>
      </c>
    </row>
    <row r="59" spans="1:15" ht="13.5" customHeight="1" x14ac:dyDescent="0.25">
      <c r="A59" s="714">
        <v>14</v>
      </c>
      <c r="B59" s="762" t="s">
        <v>698</v>
      </c>
      <c r="C59" s="763"/>
      <c r="D59" s="763"/>
      <c r="E59" s="759"/>
      <c r="F59" s="732"/>
      <c r="G59" s="727"/>
      <c r="H59" s="727"/>
      <c r="I59" s="727"/>
      <c r="J59" s="727"/>
      <c r="K59" s="745">
        <f>[1]Sheet1!BG644/10^7</f>
        <v>1016.2274503</v>
      </c>
      <c r="L59" s="727"/>
      <c r="M59" s="727"/>
      <c r="N59" s="727">
        <f t="shared" si="16"/>
        <v>1016.2274503</v>
      </c>
      <c r="O59" s="728"/>
    </row>
    <row r="60" spans="1:15" ht="13.5" customHeight="1" x14ac:dyDescent="0.25">
      <c r="A60" s="714">
        <v>15</v>
      </c>
      <c r="B60" s="762" t="s">
        <v>816</v>
      </c>
      <c r="C60" s="763">
        <v>70</v>
      </c>
      <c r="D60" s="730">
        <v>52.331600000000002</v>
      </c>
      <c r="E60" s="759">
        <f t="shared" si="13"/>
        <v>36.63212</v>
      </c>
      <c r="F60" s="732">
        <f>[1]Sheet1!BD24/10^6</f>
        <v>233.05727489000398</v>
      </c>
      <c r="G60" s="727"/>
      <c r="H60" s="727">
        <f>[1]Sheet1!BG24/10^7-1.06</f>
        <v>88.322483800000001</v>
      </c>
      <c r="I60" s="727"/>
      <c r="J60" s="727"/>
      <c r="K60" s="727">
        <f>H60</f>
        <v>88.322483800000001</v>
      </c>
      <c r="L60" s="727"/>
      <c r="M60" s="727"/>
      <c r="N60" s="727">
        <f t="shared" si="16"/>
        <v>88.322483800000001</v>
      </c>
      <c r="O60" s="728">
        <f>N60/F60*1000</f>
        <v>378.97329676443508</v>
      </c>
    </row>
    <row r="61" spans="1:15" ht="13.5" customHeight="1" x14ac:dyDescent="0.25">
      <c r="A61" s="714"/>
      <c r="B61" s="762" t="s">
        <v>893</v>
      </c>
      <c r="C61" s="763">
        <v>300</v>
      </c>
      <c r="D61" s="730">
        <v>47.21</v>
      </c>
      <c r="E61" s="759">
        <f t="shared" si="13"/>
        <v>141.63</v>
      </c>
      <c r="F61" s="732">
        <f>[1]Sheet1!BD27/10^6</f>
        <v>168.71976059229999</v>
      </c>
      <c r="G61" s="727"/>
      <c r="H61" s="727">
        <f>[1]Sheet1!BG27/10^7</f>
        <v>24.420952700000001</v>
      </c>
      <c r="I61" s="727"/>
      <c r="J61" s="727"/>
      <c r="K61" s="727">
        <f>H61</f>
        <v>24.420952700000001</v>
      </c>
      <c r="L61" s="727"/>
      <c r="M61" s="727"/>
      <c r="N61" s="727">
        <f t="shared" si="16"/>
        <v>24.420952700000001</v>
      </c>
      <c r="O61" s="728">
        <f>N61/F61*1000</f>
        <v>144.74269412349156</v>
      </c>
    </row>
    <row r="62" spans="1:15" ht="13.5" customHeight="1" x14ac:dyDescent="0.25">
      <c r="A62" s="714">
        <v>16</v>
      </c>
      <c r="B62" s="762" t="s">
        <v>801</v>
      </c>
      <c r="C62" s="763">
        <v>400</v>
      </c>
      <c r="D62" s="730">
        <v>47.21</v>
      </c>
      <c r="E62" s="759">
        <f t="shared" si="13"/>
        <v>188.84</v>
      </c>
      <c r="F62" s="732">
        <f>[1]Sheet1!BD25/10^6</f>
        <v>1337.8826752246</v>
      </c>
      <c r="G62" s="727">
        <f>[9]Sheet1!$AY$18/10^7</f>
        <v>206.8806007</v>
      </c>
      <c r="H62" s="727">
        <f>[9]Sheet1!$AZ$18/10^7</f>
        <v>289.6022519</v>
      </c>
      <c r="I62" s="727"/>
      <c r="J62" s="727"/>
      <c r="K62" s="727">
        <f>G62+H62</f>
        <v>496.4828526</v>
      </c>
      <c r="L62" s="727"/>
      <c r="M62" s="727"/>
      <c r="N62" s="727">
        <f t="shared" si="16"/>
        <v>496.4828526</v>
      </c>
      <c r="O62" s="728">
        <f>N62/F62*1000</f>
        <v>371.09595766060119</v>
      </c>
    </row>
    <row r="63" spans="1:15" ht="13.5" customHeight="1" x14ac:dyDescent="0.25">
      <c r="A63" s="714"/>
      <c r="B63" s="762" t="s">
        <v>894</v>
      </c>
      <c r="C63" s="763">
        <v>800</v>
      </c>
      <c r="D63" s="730">
        <v>47.21</v>
      </c>
      <c r="E63" s="759">
        <f t="shared" si="13"/>
        <v>377.68</v>
      </c>
      <c r="F63" s="732">
        <f>[1]Sheet1!BD26/10^6</f>
        <v>832.25055176110004</v>
      </c>
      <c r="G63" s="727">
        <f>[9]Sheet1!$AY$19/10^7</f>
        <v>176.4565432</v>
      </c>
      <c r="H63" s="727">
        <f>[9]Sheet1!$AZ$19/10^7</f>
        <v>277.00946499999998</v>
      </c>
      <c r="I63" s="727"/>
      <c r="J63" s="727"/>
      <c r="K63" s="727">
        <f>G63+H63</f>
        <v>453.46600819999998</v>
      </c>
      <c r="L63" s="727"/>
      <c r="M63" s="727"/>
      <c r="N63" s="727">
        <f t="shared" si="16"/>
        <v>453.46600819999998</v>
      </c>
      <c r="O63" s="728">
        <f>N63/F63*1000</f>
        <v>544.86717640551194</v>
      </c>
    </row>
    <row r="64" spans="1:15" x14ac:dyDescent="0.25">
      <c r="A64" s="714"/>
      <c r="B64" s="747" t="s">
        <v>480</v>
      </c>
      <c r="C64" s="724">
        <f>SUM(C40:C60)</f>
        <v>2227.3599999999997</v>
      </c>
      <c r="D64" s="724"/>
      <c r="E64" s="725">
        <f>SUM(E40:E62)</f>
        <v>1385.591776</v>
      </c>
      <c r="F64" s="744">
        <f>SUM(F40:F63)</f>
        <v>11016.520518940504</v>
      </c>
      <c r="G64" s="744">
        <f>SUM(G40:G62)</f>
        <v>903.75717340000006</v>
      </c>
      <c r="H64" s="744">
        <f>SUM(H40:H62)</f>
        <v>2877.6218427999997</v>
      </c>
      <c r="I64" s="744">
        <f>SUM(I40:I60)</f>
        <v>0</v>
      </c>
      <c r="J64" s="744">
        <f>SUM(J40:J60)</f>
        <v>0</v>
      </c>
      <c r="K64" s="744">
        <f>SUM(K40:K63)</f>
        <v>5251.0724746999995</v>
      </c>
      <c r="L64" s="744">
        <f>SUM(L40:L60)</f>
        <v>696.8765727</v>
      </c>
      <c r="M64" s="744">
        <f>SUM(M40:M60)</f>
        <v>2123.5781465999999</v>
      </c>
      <c r="N64" s="744">
        <f>SUM(N40:N63)</f>
        <v>5251.0724746999995</v>
      </c>
      <c r="O64" s="728">
        <f>N64/F64*1000</f>
        <v>476.65435431014049</v>
      </c>
    </row>
    <row r="65" spans="1:15" x14ac:dyDescent="0.25">
      <c r="A65" s="714" t="s">
        <v>103</v>
      </c>
      <c r="B65" s="756" t="s">
        <v>317</v>
      </c>
      <c r="C65" s="757"/>
      <c r="D65" s="757"/>
      <c r="E65" s="741"/>
      <c r="F65" s="727"/>
      <c r="G65" s="727"/>
      <c r="H65" s="727"/>
      <c r="I65" s="727"/>
      <c r="J65" s="727"/>
      <c r="K65" s="727"/>
      <c r="L65" s="727"/>
      <c r="M65" s="727"/>
      <c r="N65" s="727"/>
      <c r="O65" s="728"/>
    </row>
    <row r="66" spans="1:15" x14ac:dyDescent="0.25">
      <c r="A66" s="714">
        <v>1</v>
      </c>
      <c r="B66" s="729" t="s">
        <v>699</v>
      </c>
      <c r="C66" s="730">
        <v>1200</v>
      </c>
      <c r="D66" s="730">
        <v>57.445700000000002</v>
      </c>
      <c r="E66" s="731">
        <f>C66*57.4457%</f>
        <v>689.34839999999997</v>
      </c>
      <c r="F66" s="732">
        <f>([1]Sheet1!BD30+[1]Sheet1!BD31)/10^6</f>
        <v>3336.7918755092051</v>
      </c>
      <c r="G66" s="727">
        <f>'[10]CC 17-18'!$K$32/10^7</f>
        <v>629.13353452594333</v>
      </c>
      <c r="H66" s="727">
        <f>([1]Sheet1!BG30/10^7)-'D1-FY-18'!G66</f>
        <v>1047.5150313751496</v>
      </c>
      <c r="I66" s="727"/>
      <c r="J66" s="727"/>
      <c r="K66" s="727">
        <f>G66+H66</f>
        <v>1676.648565901093</v>
      </c>
      <c r="L66" s="727"/>
      <c r="M66" s="727">
        <f>K66</f>
        <v>1676.648565901093</v>
      </c>
      <c r="N66" s="727">
        <f>L66+M66</f>
        <v>1676.648565901093</v>
      </c>
      <c r="O66" s="728">
        <f>N66/F66*1000</f>
        <v>502.47322232083502</v>
      </c>
    </row>
    <row r="67" spans="1:15" ht="12.75" hidden="1" customHeight="1" x14ac:dyDescent="0.25">
      <c r="A67" s="714"/>
      <c r="B67" s="729" t="s">
        <v>700</v>
      </c>
      <c r="C67" s="730"/>
      <c r="D67" s="730"/>
      <c r="E67" s="731"/>
      <c r="F67" s="732"/>
      <c r="G67" s="727"/>
      <c r="H67" s="727"/>
      <c r="I67" s="727"/>
      <c r="J67" s="727"/>
      <c r="K67" s="727"/>
      <c r="L67" s="727"/>
      <c r="M67" s="727"/>
      <c r="N67" s="727">
        <f>L67+M67</f>
        <v>0</v>
      </c>
      <c r="O67" s="728"/>
    </row>
    <row r="68" spans="1:15" ht="15" hidden="1" customHeight="1" x14ac:dyDescent="0.25">
      <c r="A68" s="714">
        <v>2</v>
      </c>
      <c r="B68" s="729" t="s">
        <v>701</v>
      </c>
      <c r="C68" s="730"/>
      <c r="D68" s="730"/>
      <c r="E68" s="731"/>
      <c r="F68" s="732" t="e">
        <f>[1]Sheet1!#REF!/10^6</f>
        <v>#REF!</v>
      </c>
      <c r="G68" s="727"/>
      <c r="H68" s="727"/>
      <c r="I68" s="727"/>
      <c r="J68" s="727"/>
      <c r="K68" s="727">
        <f>G68+H68</f>
        <v>0</v>
      </c>
      <c r="L68" s="727">
        <f>G68</f>
        <v>0</v>
      </c>
      <c r="M68" s="727">
        <f>H68</f>
        <v>0</v>
      </c>
      <c r="N68" s="727">
        <f>L68+M68</f>
        <v>0</v>
      </c>
      <c r="O68" s="728" t="e">
        <f>H68/F68*1000</f>
        <v>#REF!</v>
      </c>
    </row>
    <row r="69" spans="1:15" ht="15" hidden="1" customHeight="1" x14ac:dyDescent="0.25">
      <c r="A69" s="714">
        <v>3</v>
      </c>
      <c r="B69" s="729" t="s">
        <v>702</v>
      </c>
      <c r="C69" s="730"/>
      <c r="D69" s="730"/>
      <c r="E69" s="731"/>
      <c r="F69" s="732" t="e">
        <f>[1]Sheet1!#REF!/10^6</f>
        <v>#REF!</v>
      </c>
      <c r="G69" s="727"/>
      <c r="H69" s="727"/>
      <c r="I69" s="727"/>
      <c r="J69" s="727"/>
      <c r="K69" s="727" t="e">
        <f>[1]Sheet4!#REF!</f>
        <v>#REF!</v>
      </c>
      <c r="L69" s="727">
        <f>G69</f>
        <v>0</v>
      </c>
      <c r="M69" s="727">
        <f>H69</f>
        <v>0</v>
      </c>
      <c r="N69" s="727"/>
      <c r="O69" s="728" t="e">
        <f>M69/F69*1000</f>
        <v>#REF!</v>
      </c>
    </row>
    <row r="70" spans="1:15" ht="15" hidden="1" customHeight="1" x14ac:dyDescent="0.25">
      <c r="A70" s="714">
        <v>4</v>
      </c>
      <c r="B70" s="729" t="s">
        <v>732</v>
      </c>
      <c r="C70" s="730"/>
      <c r="D70" s="730"/>
      <c r="E70" s="731"/>
      <c r="F70" s="732"/>
      <c r="G70" s="727"/>
      <c r="H70" s="727"/>
      <c r="I70" s="727"/>
      <c r="J70" s="727"/>
      <c r="K70" s="727" t="e">
        <f>[1]Sheet1!#REF!/10^7</f>
        <v>#REF!</v>
      </c>
      <c r="L70" s="727"/>
      <c r="M70" s="727"/>
      <c r="N70" s="727"/>
      <c r="O70" s="728"/>
    </row>
    <row r="71" spans="1:15" x14ac:dyDescent="0.25">
      <c r="A71" s="714"/>
      <c r="B71" s="756" t="s">
        <v>481</v>
      </c>
      <c r="C71" s="757">
        <f>SUM(C66:C69)</f>
        <v>1200</v>
      </c>
      <c r="D71" s="757"/>
      <c r="E71" s="757">
        <f>SUM(E66:E69)</f>
        <v>689.34839999999997</v>
      </c>
      <c r="F71" s="744">
        <f>F66</f>
        <v>3336.7918755092051</v>
      </c>
      <c r="G71" s="744">
        <f t="shared" ref="G71:M71" si="17">SUM(G66:G69)</f>
        <v>629.13353452594333</v>
      </c>
      <c r="H71" s="744">
        <f t="shared" si="17"/>
        <v>1047.5150313751496</v>
      </c>
      <c r="I71" s="744"/>
      <c r="J71" s="744"/>
      <c r="K71" s="744">
        <f>K66</f>
        <v>1676.648565901093</v>
      </c>
      <c r="L71" s="744">
        <f t="shared" si="17"/>
        <v>0</v>
      </c>
      <c r="M71" s="744">
        <f t="shared" si="17"/>
        <v>1676.648565901093</v>
      </c>
      <c r="N71" s="744">
        <f>SUM(N66:N70)</f>
        <v>1676.648565901093</v>
      </c>
      <c r="O71" s="728"/>
    </row>
    <row r="72" spans="1:15" x14ac:dyDescent="0.25">
      <c r="A72" s="714" t="s">
        <v>482</v>
      </c>
      <c r="B72" s="756" t="s">
        <v>703</v>
      </c>
      <c r="C72" s="757"/>
      <c r="D72" s="757"/>
      <c r="E72" s="741"/>
      <c r="F72" s="727"/>
      <c r="G72" s="727"/>
      <c r="H72" s="727"/>
      <c r="I72" s="727"/>
      <c r="J72" s="727"/>
      <c r="K72" s="727"/>
      <c r="L72" s="727"/>
      <c r="M72" s="727"/>
      <c r="N72" s="727">
        <f>L72+M72</f>
        <v>0</v>
      </c>
      <c r="O72" s="728"/>
    </row>
    <row r="73" spans="1:15" x14ac:dyDescent="0.25">
      <c r="A73" s="714">
        <v>1</v>
      </c>
      <c r="B73" s="751" t="s">
        <v>895</v>
      </c>
      <c r="C73" s="764">
        <f>484.58+127</f>
        <v>611.57999999999993</v>
      </c>
      <c r="D73" s="764">
        <v>47.7879</v>
      </c>
      <c r="E73" s="759">
        <f>C73*D73%</f>
        <v>292.26123881999996</v>
      </c>
      <c r="F73" s="738">
        <f>[1]Sheet1!BD112/10^6</f>
        <v>574.63610739339993</v>
      </c>
      <c r="G73" s="727"/>
      <c r="H73" s="727"/>
      <c r="I73" s="727"/>
      <c r="J73" s="727"/>
      <c r="K73" s="727">
        <f>[1]Sheet1!BG112/10^7</f>
        <v>256.29898131700003</v>
      </c>
      <c r="L73" s="727"/>
      <c r="M73" s="727">
        <f t="shared" ref="M73:M84" si="18">K73</f>
        <v>256.29898131700003</v>
      </c>
      <c r="N73" s="727">
        <f>K73</f>
        <v>256.29898131700003</v>
      </c>
      <c r="O73" s="728">
        <f>N73/F73*1000</f>
        <v>446.01962532357186</v>
      </c>
    </row>
    <row r="74" spans="1:15" x14ac:dyDescent="0.25">
      <c r="A74" s="714">
        <v>2</v>
      </c>
      <c r="B74" s="751" t="s">
        <v>896</v>
      </c>
      <c r="C74" s="765">
        <v>59.5</v>
      </c>
      <c r="D74" s="765"/>
      <c r="E74" s="759">
        <f>C74</f>
        <v>59.5</v>
      </c>
      <c r="F74" s="738">
        <f>[1]Sheet1!BD122/10^6</f>
        <v>63.879036999999997</v>
      </c>
      <c r="G74" s="744"/>
      <c r="H74" s="744"/>
      <c r="I74" s="744"/>
      <c r="J74" s="727"/>
      <c r="K74" s="738">
        <f>[1]Sheet1!BG122/10^7</f>
        <v>34.682065600000001</v>
      </c>
      <c r="L74" s="727"/>
      <c r="M74" s="738">
        <f t="shared" si="18"/>
        <v>34.682065600000001</v>
      </c>
      <c r="N74" s="727">
        <f t="shared" ref="N74:N84" si="19">L74+M74</f>
        <v>34.682065600000001</v>
      </c>
      <c r="O74" s="728">
        <f t="shared" ref="O74:O81" si="20">N74/F74*1000</f>
        <v>542.93344466041344</v>
      </c>
    </row>
    <row r="75" spans="1:15" x14ac:dyDescent="0.25">
      <c r="A75" s="714">
        <v>3</v>
      </c>
      <c r="B75" s="751" t="s">
        <v>897</v>
      </c>
      <c r="C75" s="765">
        <v>181.5</v>
      </c>
      <c r="D75" s="765"/>
      <c r="E75" s="759">
        <v>181.5</v>
      </c>
      <c r="F75" s="738">
        <f>[1]Sheet1!BD137/10^6</f>
        <v>342.53868125000002</v>
      </c>
      <c r="G75" s="727"/>
      <c r="H75" s="727"/>
      <c r="I75" s="727"/>
      <c r="J75" s="727"/>
      <c r="K75" s="727">
        <f>[1]Sheet1!BG137/10^7</f>
        <v>111.1750255</v>
      </c>
      <c r="L75" s="727"/>
      <c r="M75" s="738">
        <f t="shared" si="18"/>
        <v>111.1750255</v>
      </c>
      <c r="N75" s="727">
        <f t="shared" si="19"/>
        <v>111.1750255</v>
      </c>
      <c r="O75" s="728">
        <f t="shared" si="20"/>
        <v>324.56195923420256</v>
      </c>
    </row>
    <row r="76" spans="1:15" x14ac:dyDescent="0.25">
      <c r="A76" s="714">
        <v>4</v>
      </c>
      <c r="B76" s="751" t="s">
        <v>898</v>
      </c>
      <c r="C76" s="765">
        <f>1257.34+172.5</f>
        <v>1429.84</v>
      </c>
      <c r="D76" s="765"/>
      <c r="E76" s="759">
        <f>C76</f>
        <v>1429.84</v>
      </c>
      <c r="F76" s="738">
        <f>[1]Sheet1!BD476/10^6</f>
        <v>2501.2795393500005</v>
      </c>
      <c r="G76" s="727"/>
      <c r="H76" s="727"/>
      <c r="I76" s="727"/>
      <c r="J76" s="727"/>
      <c r="K76" s="727">
        <f>[1]Sheet1!BG476/10^7</f>
        <v>907.07097383999997</v>
      </c>
      <c r="L76" s="727"/>
      <c r="M76" s="738">
        <f>K76</f>
        <v>907.07097383999997</v>
      </c>
      <c r="N76" s="727">
        <f>L76+M76</f>
        <v>907.07097383999997</v>
      </c>
      <c r="O76" s="728">
        <f t="shared" si="20"/>
        <v>362.64278325153435</v>
      </c>
    </row>
    <row r="77" spans="1:15" x14ac:dyDescent="0.25">
      <c r="A77" s="714"/>
      <c r="B77" s="751" t="s">
        <v>899</v>
      </c>
      <c r="C77" s="765"/>
      <c r="D77" s="730">
        <v>100</v>
      </c>
      <c r="E77" s="731">
        <v>7.25</v>
      </c>
      <c r="F77" s="738">
        <f>[1]Sheet1!BD70/10^6</f>
        <v>6.9240920000000017</v>
      </c>
      <c r="G77" s="727"/>
      <c r="H77" s="727"/>
      <c r="I77" s="727"/>
      <c r="J77" s="727"/>
      <c r="K77" s="727">
        <f>[1]Sheet1!BG70/10^7</f>
        <v>2.4808283241043663</v>
      </c>
      <c r="L77" s="727"/>
      <c r="M77" s="738">
        <f>K77</f>
        <v>2.4808283241043663</v>
      </c>
      <c r="N77" s="727">
        <f>L77+M77</f>
        <v>2.4808283241043663</v>
      </c>
      <c r="O77" s="728">
        <f t="shared" si="20"/>
        <v>358.28933585867514</v>
      </c>
    </row>
    <row r="78" spans="1:15" x14ac:dyDescent="0.25">
      <c r="A78" s="714">
        <v>5</v>
      </c>
      <c r="B78" s="751" t="s">
        <v>817</v>
      </c>
      <c r="C78" s="765">
        <v>3</v>
      </c>
      <c r="D78" s="765"/>
      <c r="E78" s="759">
        <v>3</v>
      </c>
      <c r="F78" s="738">
        <f>[1]Sheet1!BD66/10^6</f>
        <v>3.6227999999999998</v>
      </c>
      <c r="G78" s="727"/>
      <c r="H78" s="727"/>
      <c r="I78" s="727"/>
      <c r="J78" s="727"/>
      <c r="K78" s="727">
        <f>[1]Sheet1!BG66/10^7</f>
        <v>2.1665640000000002</v>
      </c>
      <c r="L78" s="727"/>
      <c r="M78" s="738">
        <f>K78</f>
        <v>2.1665640000000002</v>
      </c>
      <c r="N78" s="727">
        <f>L78+M78</f>
        <v>2.1665640000000002</v>
      </c>
      <c r="O78" s="728">
        <f t="shared" si="20"/>
        <v>598.03577343491236</v>
      </c>
    </row>
    <row r="79" spans="1:15" x14ac:dyDescent="0.25">
      <c r="A79" s="714">
        <v>6</v>
      </c>
      <c r="B79" s="751" t="s">
        <v>900</v>
      </c>
      <c r="C79" s="765">
        <v>799</v>
      </c>
      <c r="D79" s="765"/>
      <c r="E79" s="759">
        <v>799</v>
      </c>
      <c r="F79" s="738">
        <f>([1]Sheet1!BD608-[1]Sheet1!BD607-[1]Sheet1!BD478-[1]Sheet1!BD479)/10^6</f>
        <v>944.69934565000005</v>
      </c>
      <c r="G79" s="727"/>
      <c r="H79" s="727"/>
      <c r="I79" s="727"/>
      <c r="J79" s="727"/>
      <c r="K79" s="727">
        <f>([1]Sheet1!BG608-[1]Sheet1!BG607-[1]Sheet1!BG478-[1]Sheet1!BG479)/10^7</f>
        <v>551.45505877539995</v>
      </c>
      <c r="L79" s="727"/>
      <c r="M79" s="738">
        <f t="shared" si="18"/>
        <v>551.45505877539995</v>
      </c>
      <c r="N79" s="727">
        <f t="shared" si="19"/>
        <v>551.45505877539995</v>
      </c>
      <c r="O79" s="728">
        <f t="shared" si="20"/>
        <v>583.7360439748918</v>
      </c>
    </row>
    <row r="80" spans="1:15" ht="15" hidden="1" customHeight="1" x14ac:dyDescent="0.25">
      <c r="A80" s="714"/>
      <c r="B80" s="751" t="s">
        <v>783</v>
      </c>
      <c r="C80" s="765"/>
      <c r="D80" s="765"/>
      <c r="E80" s="759">
        <f>C80</f>
        <v>0</v>
      </c>
      <c r="F80" s="738">
        <f>[1]Sheet4!C45</f>
        <v>0</v>
      </c>
      <c r="G80" s="727"/>
      <c r="H80" s="727"/>
      <c r="I80" s="727"/>
      <c r="J80" s="727"/>
      <c r="K80" s="727">
        <f>[1]Sheet4!D45</f>
        <v>0</v>
      </c>
      <c r="L80" s="727"/>
      <c r="M80" s="738">
        <f>K80</f>
        <v>0</v>
      </c>
      <c r="N80" s="727">
        <f>L80+M80</f>
        <v>0</v>
      </c>
      <c r="O80" s="728" t="e">
        <f t="shared" si="20"/>
        <v>#DIV/0!</v>
      </c>
    </row>
    <row r="81" spans="1:15" x14ac:dyDescent="0.25">
      <c r="A81" s="714">
        <v>7</v>
      </c>
      <c r="B81" s="751" t="s">
        <v>818</v>
      </c>
      <c r="C81" s="765"/>
      <c r="D81" s="765"/>
      <c r="E81" s="759"/>
      <c r="F81" s="738">
        <f>([1]Sheet1!BD478+[1]Sheet1!BD479)/10^6</f>
        <v>200.40359009706592</v>
      </c>
      <c r="G81" s="727"/>
      <c r="H81" s="727"/>
      <c r="I81" s="727"/>
      <c r="J81" s="727"/>
      <c r="K81" s="727">
        <f>([1]Sheet1!BG478+[1]Sheet1!BG479)/10^7</f>
        <v>139.4503541</v>
      </c>
      <c r="L81" s="727"/>
      <c r="M81" s="738">
        <f>K81</f>
        <v>139.4503541</v>
      </c>
      <c r="N81" s="727">
        <f>L81+M81</f>
        <v>139.4503541</v>
      </c>
      <c r="O81" s="728">
        <f t="shared" si="20"/>
        <v>695.84758452908409</v>
      </c>
    </row>
    <row r="82" spans="1:15" x14ac:dyDescent="0.25">
      <c r="A82" s="714">
        <v>8</v>
      </c>
      <c r="B82" s="751" t="s">
        <v>819</v>
      </c>
      <c r="C82" s="765"/>
      <c r="D82" s="765"/>
      <c r="E82" s="759"/>
      <c r="F82" s="766">
        <f>[1]Sheet1!BD607/10^6</f>
        <v>60.016495999999997</v>
      </c>
      <c r="G82" s="727"/>
      <c r="H82" s="727"/>
      <c r="I82" s="727"/>
      <c r="J82" s="727"/>
      <c r="K82" s="727">
        <v>38.86</v>
      </c>
      <c r="L82" s="727"/>
      <c r="M82" s="738">
        <f>K82</f>
        <v>38.86</v>
      </c>
      <c r="N82" s="727">
        <v>38.86</v>
      </c>
      <c r="O82" s="728"/>
    </row>
    <row r="83" spans="1:15" x14ac:dyDescent="0.25">
      <c r="A83" s="714">
        <v>9</v>
      </c>
      <c r="B83" s="751" t="s">
        <v>820</v>
      </c>
      <c r="C83" s="765"/>
      <c r="D83" s="765"/>
      <c r="E83" s="759"/>
      <c r="F83" s="738">
        <f>[1]Sheet4!C94</f>
        <v>0</v>
      </c>
      <c r="G83" s="727"/>
      <c r="H83" s="727"/>
      <c r="I83" s="727"/>
      <c r="J83" s="727"/>
      <c r="K83" s="727">
        <f>[1]Sheet4!D94</f>
        <v>0</v>
      </c>
      <c r="L83" s="727"/>
      <c r="M83" s="738">
        <f t="shared" si="18"/>
        <v>0</v>
      </c>
      <c r="N83" s="727">
        <f t="shared" si="19"/>
        <v>0</v>
      </c>
      <c r="O83" s="728"/>
    </row>
    <row r="84" spans="1:15" x14ac:dyDescent="0.25">
      <c r="A84" s="714">
        <v>10</v>
      </c>
      <c r="B84" s="751" t="s">
        <v>821</v>
      </c>
      <c r="C84" s="765"/>
      <c r="D84" s="765"/>
      <c r="E84" s="759"/>
      <c r="F84" s="738">
        <f>[1]Sheet4!C95</f>
        <v>0</v>
      </c>
      <c r="G84" s="727"/>
      <c r="H84" s="727"/>
      <c r="I84" s="727"/>
      <c r="J84" s="727"/>
      <c r="K84" s="727">
        <f>[1]Sheet4!D95</f>
        <v>0</v>
      </c>
      <c r="L84" s="727"/>
      <c r="M84" s="738">
        <f t="shared" si="18"/>
        <v>0</v>
      </c>
      <c r="N84" s="727">
        <f t="shared" si="19"/>
        <v>0</v>
      </c>
      <c r="O84" s="728"/>
    </row>
    <row r="85" spans="1:15" x14ac:dyDescent="0.25">
      <c r="A85" s="714"/>
      <c r="B85" s="751" t="s">
        <v>705</v>
      </c>
      <c r="C85" s="767">
        <f>SUM(C73:C80)</f>
        <v>3084.42</v>
      </c>
      <c r="D85" s="767"/>
      <c r="E85" s="767">
        <f>SUM(E73:E80)</f>
        <v>2772.3512388199997</v>
      </c>
      <c r="F85" s="767">
        <f>SUM(F73:F84)</f>
        <v>4697.9996887404668</v>
      </c>
      <c r="G85" s="727"/>
      <c r="H85" s="727"/>
      <c r="I85" s="727"/>
      <c r="J85" s="727"/>
      <c r="K85" s="767">
        <f>SUM(K73:K84)</f>
        <v>2043.6398514565042</v>
      </c>
      <c r="L85" s="727"/>
      <c r="M85" s="767">
        <f>SUM(M73:M84)</f>
        <v>2043.6398514565042</v>
      </c>
      <c r="N85" s="742">
        <f>L85+M85</f>
        <v>2043.6398514565042</v>
      </c>
      <c r="O85" s="728"/>
    </row>
    <row r="86" spans="1:15" ht="15" hidden="1" customHeight="1" x14ac:dyDescent="0.25">
      <c r="A86" s="714"/>
      <c r="B86" s="751"/>
      <c r="C86" s="768"/>
      <c r="D86" s="768"/>
      <c r="E86" s="767"/>
      <c r="F86" s="727"/>
      <c r="G86" s="727"/>
      <c r="H86" s="727"/>
      <c r="I86" s="727"/>
      <c r="J86" s="727"/>
      <c r="K86" s="727"/>
      <c r="L86" s="727"/>
      <c r="M86" s="727"/>
      <c r="N86" s="727">
        <f>L86+M86</f>
        <v>0</v>
      </c>
      <c r="O86" s="728"/>
    </row>
    <row r="87" spans="1:15" ht="15" hidden="1" customHeight="1" x14ac:dyDescent="0.25">
      <c r="A87" s="722"/>
      <c r="B87" s="751"/>
      <c r="C87" s="768"/>
      <c r="D87" s="768"/>
      <c r="E87" s="767"/>
      <c r="F87" s="727"/>
      <c r="G87" s="727"/>
      <c r="H87" s="727"/>
      <c r="I87" s="727"/>
      <c r="J87" s="727"/>
      <c r="K87" s="727"/>
      <c r="L87" s="727"/>
      <c r="M87" s="727"/>
      <c r="N87" s="727">
        <f>L87+M87</f>
        <v>0</v>
      </c>
      <c r="O87" s="728"/>
    </row>
    <row r="88" spans="1:15" ht="15" hidden="1" customHeight="1" x14ac:dyDescent="0.25">
      <c r="A88" s="714"/>
      <c r="B88" s="733"/>
      <c r="C88" s="734"/>
      <c r="D88" s="734"/>
      <c r="E88" s="759"/>
      <c r="F88" s="735"/>
      <c r="G88" s="727"/>
      <c r="H88" s="727"/>
      <c r="I88" s="727"/>
      <c r="J88" s="727"/>
      <c r="K88" s="727"/>
      <c r="L88" s="727"/>
      <c r="M88" s="727"/>
      <c r="N88" s="727">
        <f>L88+M88</f>
        <v>0</v>
      </c>
      <c r="O88" s="728"/>
    </row>
    <row r="89" spans="1:15" ht="15" hidden="1" customHeight="1" x14ac:dyDescent="0.25">
      <c r="A89" s="714"/>
      <c r="B89" s="733"/>
      <c r="C89" s="734"/>
      <c r="D89" s="734"/>
      <c r="E89" s="759"/>
      <c r="F89" s="735"/>
      <c r="G89" s="727"/>
      <c r="H89" s="727"/>
      <c r="I89" s="727"/>
      <c r="J89" s="727"/>
      <c r="K89" s="727"/>
      <c r="L89" s="727"/>
      <c r="M89" s="727"/>
      <c r="N89" s="727">
        <f>L89+M89</f>
        <v>0</v>
      </c>
      <c r="O89" s="728"/>
    </row>
    <row r="90" spans="1:15" ht="15" hidden="1" customHeight="1" x14ac:dyDescent="0.25">
      <c r="A90" s="714"/>
      <c r="B90" s="733"/>
      <c r="C90" s="734"/>
      <c r="D90" s="734"/>
      <c r="E90" s="759"/>
      <c r="F90" s="735"/>
      <c r="G90" s="727"/>
      <c r="H90" s="727"/>
      <c r="I90" s="727"/>
      <c r="J90" s="727"/>
      <c r="K90" s="727"/>
      <c r="L90" s="727"/>
      <c r="M90" s="727"/>
      <c r="N90" s="727">
        <f t="shared" ref="N90:N105" si="21">L90+M90</f>
        <v>0</v>
      </c>
      <c r="O90" s="728"/>
    </row>
    <row r="91" spans="1:15" ht="15" hidden="1" customHeight="1" x14ac:dyDescent="0.25">
      <c r="A91" s="714"/>
      <c r="B91" s="733"/>
      <c r="C91" s="734"/>
      <c r="D91" s="734"/>
      <c r="E91" s="759"/>
      <c r="F91" s="735"/>
      <c r="G91" s="727"/>
      <c r="H91" s="727"/>
      <c r="I91" s="727"/>
      <c r="J91" s="727"/>
      <c r="K91" s="727"/>
      <c r="L91" s="727"/>
      <c r="M91" s="727"/>
      <c r="N91" s="727">
        <f t="shared" si="21"/>
        <v>0</v>
      </c>
      <c r="O91" s="728"/>
    </row>
    <row r="92" spans="1:15" ht="15" hidden="1" customHeight="1" x14ac:dyDescent="0.25">
      <c r="A92" s="714"/>
      <c r="B92" s="751"/>
      <c r="C92" s="768"/>
      <c r="D92" s="768"/>
      <c r="E92" s="768"/>
      <c r="F92" s="744"/>
      <c r="G92" s="727"/>
      <c r="H92" s="727"/>
      <c r="I92" s="727"/>
      <c r="J92" s="727"/>
      <c r="K92" s="727"/>
      <c r="L92" s="727"/>
      <c r="M92" s="727"/>
      <c r="N92" s="727">
        <f t="shared" si="21"/>
        <v>0</v>
      </c>
      <c r="O92" s="728"/>
    </row>
    <row r="93" spans="1:15" ht="15" hidden="1" customHeight="1" x14ac:dyDescent="0.25">
      <c r="A93" s="722"/>
      <c r="B93" s="747"/>
      <c r="C93" s="724"/>
      <c r="D93" s="724"/>
      <c r="E93" s="725"/>
      <c r="F93" s="738"/>
      <c r="G93" s="727"/>
      <c r="H93" s="727"/>
      <c r="I93" s="727"/>
      <c r="J93" s="727"/>
      <c r="K93" s="727"/>
      <c r="L93" s="727"/>
      <c r="M93" s="727"/>
      <c r="N93" s="727">
        <f t="shared" si="21"/>
        <v>0</v>
      </c>
      <c r="O93" s="728"/>
    </row>
    <row r="94" spans="1:15" ht="15" hidden="1" customHeight="1" x14ac:dyDescent="0.25">
      <c r="A94" s="714"/>
      <c r="B94" s="756"/>
      <c r="C94" s="757"/>
      <c r="D94" s="757"/>
      <c r="E94" s="757"/>
      <c r="F94" s="744"/>
      <c r="G94" s="727"/>
      <c r="H94" s="727"/>
      <c r="I94" s="727"/>
      <c r="J94" s="727"/>
      <c r="K94" s="727"/>
      <c r="L94" s="727"/>
      <c r="M94" s="727"/>
      <c r="N94" s="727">
        <f t="shared" si="21"/>
        <v>0</v>
      </c>
      <c r="O94" s="728"/>
    </row>
    <row r="95" spans="1:15" x14ac:dyDescent="0.25">
      <c r="A95" s="714" t="s">
        <v>579</v>
      </c>
      <c r="B95" s="729" t="s">
        <v>538</v>
      </c>
      <c r="C95" s="730">
        <v>14.4</v>
      </c>
      <c r="D95" s="730"/>
      <c r="E95" s="731">
        <f>C95*47.21%</f>
        <v>6.7982400000000007</v>
      </c>
      <c r="F95" s="735">
        <f>[1]Sheet1!BD22/10^6</f>
        <v>42.844019799999998</v>
      </c>
      <c r="G95" s="727"/>
      <c r="H95" s="727"/>
      <c r="I95" s="727"/>
      <c r="J95" s="727"/>
      <c r="K95" s="727">
        <f>[1]Sheet10!D7/10^7</f>
        <v>30.536366600000001</v>
      </c>
      <c r="L95" s="727"/>
      <c r="M95" s="727"/>
      <c r="N95" s="727">
        <f>K95</f>
        <v>30.536366600000001</v>
      </c>
      <c r="O95" s="728"/>
    </row>
    <row r="96" spans="1:15" x14ac:dyDescent="0.25">
      <c r="A96" s="714"/>
      <c r="B96" s="729" t="s">
        <v>784</v>
      </c>
      <c r="C96" s="730"/>
      <c r="D96" s="730"/>
      <c r="E96" s="731"/>
      <c r="F96" s="735">
        <f>[1]Sheet1!BD23/10^6</f>
        <v>8.7052168890000008</v>
      </c>
      <c r="G96" s="727"/>
      <c r="H96" s="727"/>
      <c r="I96" s="727"/>
      <c r="J96" s="727"/>
      <c r="K96" s="727">
        <f>[1]Sheet1!BG23/10^7</f>
        <v>1.0357575999999999</v>
      </c>
      <c r="L96" s="727"/>
      <c r="M96" s="727"/>
      <c r="N96" s="727">
        <f>K96</f>
        <v>1.0357575999999999</v>
      </c>
      <c r="O96" s="728"/>
    </row>
    <row r="97" spans="1:15" x14ac:dyDescent="0.25">
      <c r="A97" s="714"/>
      <c r="B97" s="729" t="s">
        <v>424</v>
      </c>
      <c r="C97" s="730"/>
      <c r="D97" s="730"/>
      <c r="E97" s="731"/>
      <c r="F97" s="735"/>
      <c r="G97" s="727"/>
      <c r="H97" s="727"/>
      <c r="I97" s="727"/>
      <c r="J97" s="727"/>
      <c r="K97" s="727">
        <f>K95+K96</f>
        <v>31.572124200000001</v>
      </c>
      <c r="L97" s="727"/>
      <c r="M97" s="727"/>
      <c r="N97" s="727">
        <f>N95+N96</f>
        <v>31.572124200000001</v>
      </c>
      <c r="O97" s="728"/>
    </row>
    <row r="98" spans="1:15" x14ac:dyDescent="0.25">
      <c r="A98" s="714" t="s">
        <v>658</v>
      </c>
      <c r="B98" s="769" t="s">
        <v>431</v>
      </c>
      <c r="C98" s="757">
        <f>C95+C94+C85+C71+C64+C38</f>
        <v>14819.529999999999</v>
      </c>
      <c r="D98" s="757"/>
      <c r="E98" s="757">
        <f>E95+E94+E85+E71+E64+E38</f>
        <v>7665.8438648199999</v>
      </c>
      <c r="F98" s="770">
        <f>F38+F64+F71+F85+F95+F96</f>
        <v>29299.705551770734</v>
      </c>
      <c r="G98" s="770">
        <f t="shared" ref="G98:N98" si="22">G97+G94+G85+G71+G64+G38</f>
        <v>2521.6756061375877</v>
      </c>
      <c r="H98" s="770">
        <f t="shared" si="22"/>
        <v>6481.7590686789154</v>
      </c>
      <c r="I98" s="770">
        <f t="shared" si="22"/>
        <v>1.2733333729670049</v>
      </c>
      <c r="J98" s="770">
        <f t="shared" si="22"/>
        <v>8.0819487210533989</v>
      </c>
      <c r="K98" s="770">
        <f t="shared" si="22"/>
        <v>12840.986552729615</v>
      </c>
      <c r="L98" s="770">
        <f t="shared" si="22"/>
        <v>1685.6614709116443</v>
      </c>
      <c r="M98" s="770">
        <f t="shared" si="22"/>
        <v>8409.8440405553847</v>
      </c>
      <c r="N98" s="770">
        <f t="shared" si="22"/>
        <v>12840.807307129617</v>
      </c>
      <c r="O98" s="728">
        <f>N98/F98*1000</f>
        <v>438.2572133511963</v>
      </c>
    </row>
    <row r="99" spans="1:15" ht="15.75" hidden="1" customHeight="1" thickBot="1" x14ac:dyDescent="0.3">
      <c r="A99" s="714"/>
      <c r="B99" s="729"/>
      <c r="C99" s="730"/>
      <c r="D99" s="730"/>
      <c r="E99" s="731"/>
      <c r="F99" s="732"/>
      <c r="G99" s="771">
        <v>1079.76</v>
      </c>
      <c r="H99" s="771"/>
      <c r="I99" s="771"/>
      <c r="J99" s="771"/>
      <c r="K99" s="771"/>
      <c r="L99" s="771"/>
      <c r="M99" s="771"/>
      <c r="N99" s="727">
        <f t="shared" si="21"/>
        <v>0</v>
      </c>
      <c r="O99" s="772"/>
    </row>
    <row r="100" spans="1:15" ht="15" hidden="1" customHeight="1" x14ac:dyDescent="0.25">
      <c r="A100" s="714"/>
      <c r="B100" s="729" t="s">
        <v>706</v>
      </c>
      <c r="C100" s="730"/>
      <c r="D100" s="730"/>
      <c r="E100" s="731"/>
      <c r="F100" s="732"/>
      <c r="G100" s="773"/>
      <c r="H100" s="774"/>
      <c r="I100" s="727"/>
      <c r="J100" s="720"/>
      <c r="K100" s="720"/>
      <c r="L100" s="720"/>
      <c r="M100" s="720"/>
      <c r="N100" s="727">
        <f t="shared" si="21"/>
        <v>0</v>
      </c>
      <c r="O100" s="775"/>
    </row>
    <row r="101" spans="1:15" x14ac:dyDescent="0.25">
      <c r="A101" s="714" t="s">
        <v>659</v>
      </c>
      <c r="B101" s="729" t="s">
        <v>707</v>
      </c>
      <c r="C101" s="730"/>
      <c r="D101" s="730"/>
      <c r="E101" s="731">
        <v>500</v>
      </c>
      <c r="F101" s="732">
        <f>([1]Sheet1!BD619+[1]Sheet1!BD620+[1]Sheet1!BD626+[1]Sheet1!BD627+[1]Sheet1!BD631+[1]Sheet1!BD628)/10^6</f>
        <v>1917.7427047374933</v>
      </c>
      <c r="G101" s="732"/>
      <c r="H101" s="727"/>
      <c r="I101" s="776"/>
      <c r="J101" s="720"/>
      <c r="K101" s="727">
        <f>([1]Sheet1!BG619+[1]Sheet1!BG620+[1]Sheet1!BG626+[1]Sheet1!BG627+[1]Sheet1!BG631+[1]Sheet1!BG628)/10^7</f>
        <v>782.63784169999997</v>
      </c>
      <c r="L101" s="720"/>
      <c r="M101" s="727">
        <f>K101</f>
        <v>782.63784169999997</v>
      </c>
      <c r="N101" s="727">
        <f t="shared" si="21"/>
        <v>782.63784169999997</v>
      </c>
      <c r="O101" s="728">
        <f>N101/F101*1000</f>
        <v>408.10367301443074</v>
      </c>
    </row>
    <row r="102" spans="1:15" x14ac:dyDescent="0.25">
      <c r="A102" s="714"/>
      <c r="B102" s="729" t="s">
        <v>704</v>
      </c>
      <c r="C102" s="730"/>
      <c r="D102" s="730"/>
      <c r="E102" s="731"/>
      <c r="F102" s="732"/>
      <c r="G102" s="732"/>
      <c r="H102" s="727"/>
      <c r="I102" s="776"/>
      <c r="J102" s="720"/>
      <c r="K102" s="727"/>
      <c r="L102" s="720"/>
      <c r="M102" s="727">
        <f>K102</f>
        <v>0</v>
      </c>
      <c r="N102" s="727">
        <f t="shared" si="21"/>
        <v>0</v>
      </c>
      <c r="O102" s="728"/>
    </row>
    <row r="103" spans="1:15" x14ac:dyDescent="0.25">
      <c r="A103" s="714" t="s">
        <v>253</v>
      </c>
      <c r="B103" s="729" t="s">
        <v>708</v>
      </c>
      <c r="C103" s="730"/>
      <c r="D103" s="730"/>
      <c r="E103" s="731"/>
      <c r="F103" s="745">
        <f>[1]Sheet1!BD611/10^6</f>
        <v>57.9470421292</v>
      </c>
      <c r="G103" s="745"/>
      <c r="H103" s="745"/>
      <c r="I103" s="745"/>
      <c r="J103" s="777"/>
      <c r="K103" s="745">
        <f>[1]Sheet1!BG611/10^7</f>
        <v>23.1451481</v>
      </c>
      <c r="L103" s="720"/>
      <c r="M103" s="727">
        <f>[1]Sheet1!BG611/10^7</f>
        <v>23.1451481</v>
      </c>
      <c r="N103" s="727">
        <f t="shared" si="21"/>
        <v>23.1451481</v>
      </c>
      <c r="O103" s="728">
        <f>N103/F103*1000</f>
        <v>399.41897376565089</v>
      </c>
    </row>
    <row r="104" spans="1:15" x14ac:dyDescent="0.25">
      <c r="A104" s="714"/>
      <c r="B104" s="778" t="s">
        <v>822</v>
      </c>
      <c r="C104" s="779"/>
      <c r="D104" s="779"/>
      <c r="E104" s="780"/>
      <c r="F104" s="781">
        <f>[1]Sheet1!BD630/10^6</f>
        <v>0</v>
      </c>
      <c r="G104" s="781"/>
      <c r="H104" s="781"/>
      <c r="I104" s="781"/>
      <c r="J104" s="782"/>
      <c r="K104" s="781"/>
      <c r="L104" s="783"/>
      <c r="M104" s="784"/>
      <c r="N104" s="727"/>
      <c r="O104" s="728"/>
    </row>
    <row r="105" spans="1:15" ht="15.75" thickBot="1" x14ac:dyDescent="0.3">
      <c r="A105" s="714"/>
      <c r="B105" s="778" t="s">
        <v>709</v>
      </c>
      <c r="C105" s="779"/>
      <c r="D105" s="779"/>
      <c r="E105" s="780"/>
      <c r="F105" s="785">
        <f>SUM(F100:F104)</f>
        <v>1975.6897468666934</v>
      </c>
      <c r="G105" s="785">
        <f t="shared" ref="G105:M105" si="23">SUM(G100:G103)</f>
        <v>0</v>
      </c>
      <c r="H105" s="785">
        <f t="shared" si="23"/>
        <v>0</v>
      </c>
      <c r="I105" s="785">
        <f t="shared" si="23"/>
        <v>0</v>
      </c>
      <c r="J105" s="785">
        <f t="shared" si="23"/>
        <v>0</v>
      </c>
      <c r="K105" s="785">
        <f>SUM(K100:K103)</f>
        <v>805.7829898</v>
      </c>
      <c r="L105" s="785">
        <f t="shared" si="23"/>
        <v>0</v>
      </c>
      <c r="M105" s="785">
        <f t="shared" si="23"/>
        <v>805.7829898</v>
      </c>
      <c r="N105" s="742">
        <f t="shared" si="21"/>
        <v>805.7829898</v>
      </c>
      <c r="O105" s="728">
        <f>N105/F105*1000</f>
        <v>407.84895051356909</v>
      </c>
    </row>
    <row r="106" spans="1:15" ht="26.25" thickBot="1" x14ac:dyDescent="0.3">
      <c r="A106" s="714" t="s">
        <v>221</v>
      </c>
      <c r="B106" s="786" t="s">
        <v>710</v>
      </c>
      <c r="C106" s="787"/>
      <c r="D106" s="787"/>
      <c r="E106" s="788"/>
      <c r="F106" s="788">
        <f>[11]Sheet1!BE452/10^6</f>
        <v>0</v>
      </c>
      <c r="G106" s="788"/>
      <c r="H106" s="788"/>
      <c r="I106" s="789"/>
      <c r="J106" s="790"/>
      <c r="K106" s="791">
        <f>[1]Sheet1!BG646/10^7</f>
        <v>1358.509591</v>
      </c>
      <c r="L106" s="788"/>
      <c r="M106" s="788"/>
      <c r="N106" s="792">
        <f t="shared" ref="N106:N111" si="24">K106</f>
        <v>1358.509591</v>
      </c>
      <c r="O106" s="788"/>
    </row>
    <row r="107" spans="1:15" ht="15" customHeight="1" thickBot="1" x14ac:dyDescent="0.3">
      <c r="A107" s="714" t="s">
        <v>254</v>
      </c>
      <c r="B107" s="786" t="s">
        <v>711</v>
      </c>
      <c r="C107" s="787"/>
      <c r="D107" s="787"/>
      <c r="E107" s="788"/>
      <c r="F107" s="793"/>
      <c r="G107" s="793"/>
      <c r="H107" s="793"/>
      <c r="I107" s="793"/>
      <c r="J107" s="793"/>
      <c r="K107" s="793">
        <f>[1]Sheet1!BG649/10^7</f>
        <v>11.373028400000001</v>
      </c>
      <c r="L107" s="794"/>
      <c r="M107" s="794"/>
      <c r="N107" s="793">
        <f t="shared" si="24"/>
        <v>11.373028400000001</v>
      </c>
      <c r="O107" s="788"/>
    </row>
    <row r="108" spans="1:15" ht="18" customHeight="1" thickBot="1" x14ac:dyDescent="0.3">
      <c r="A108" s="795" t="s">
        <v>255</v>
      </c>
      <c r="B108" s="786" t="s">
        <v>901</v>
      </c>
      <c r="C108" s="787"/>
      <c r="D108" s="787"/>
      <c r="E108" s="788"/>
      <c r="F108" s="793"/>
      <c r="G108" s="793"/>
      <c r="H108" s="793"/>
      <c r="I108" s="793"/>
      <c r="J108" s="793"/>
      <c r="K108" s="793">
        <f>[1]Sheet4!D63</f>
        <v>1.0582046000000001</v>
      </c>
      <c r="L108" s="794"/>
      <c r="M108" s="794"/>
      <c r="N108" s="793">
        <f>K108</f>
        <v>1.0582046000000001</v>
      </c>
      <c r="O108" s="788"/>
    </row>
    <row r="109" spans="1:15" ht="18.75" customHeight="1" thickBot="1" x14ac:dyDescent="0.3">
      <c r="A109" s="796" t="s">
        <v>255</v>
      </c>
      <c r="B109" s="797" t="s">
        <v>712</v>
      </c>
      <c r="C109" s="798"/>
      <c r="D109" s="798"/>
      <c r="E109" s="799"/>
      <c r="F109" s="799">
        <f>[1]Sheet4!C66+[1]Sheet4!C67+[1]Sheet4!C68+[1]Sheet4!C69</f>
        <v>-88.285000000000011</v>
      </c>
      <c r="G109" s="799"/>
      <c r="H109" s="799"/>
      <c r="I109" s="799"/>
      <c r="J109" s="799"/>
      <c r="K109" s="800">
        <f>[1]Sheet4!D66+[1]Sheet4!D67+[1]Sheet4!D68+[1]Sheet4!D69</f>
        <v>-47.245000000000005</v>
      </c>
      <c r="L109" s="800"/>
      <c r="M109" s="800" t="s">
        <v>713</v>
      </c>
      <c r="N109" s="793">
        <f t="shared" si="24"/>
        <v>-47.245000000000005</v>
      </c>
      <c r="O109" s="801"/>
    </row>
    <row r="110" spans="1:15" ht="18.75" customHeight="1" thickBot="1" x14ac:dyDescent="0.3">
      <c r="A110" s="796"/>
      <c r="B110" s="802" t="s">
        <v>714</v>
      </c>
      <c r="C110" s="803"/>
      <c r="D110" s="803"/>
      <c r="E110" s="804"/>
      <c r="F110" s="804">
        <f>[1]Sheet4!C53+[1]Sheet4!C54+[1]Sheet4!C55+[1]Sheet4!C56</f>
        <v>29.600296</v>
      </c>
      <c r="G110" s="804"/>
      <c r="H110" s="804"/>
      <c r="I110" s="804"/>
      <c r="J110" s="804"/>
      <c r="K110" s="805">
        <f>[1]Sheet4!D53+[1]Sheet4!D54+[1]Sheet4!D55+[1]Sheet4!D56</f>
        <v>11.189240000000002</v>
      </c>
      <c r="L110" s="805"/>
      <c r="M110" s="805"/>
      <c r="N110" s="793">
        <f t="shared" si="24"/>
        <v>11.189240000000002</v>
      </c>
      <c r="O110" s="806"/>
    </row>
    <row r="111" spans="1:15" ht="16.5" customHeight="1" thickBot="1" x14ac:dyDescent="0.3">
      <c r="A111" s="796" t="s">
        <v>661</v>
      </c>
      <c r="B111" s="807" t="s">
        <v>715</v>
      </c>
      <c r="C111" s="808"/>
      <c r="D111" s="808"/>
      <c r="E111" s="809"/>
      <c r="F111" s="809">
        <f>[1]Sheet4!C58</f>
        <v>0</v>
      </c>
      <c r="G111" s="809"/>
      <c r="H111" s="809"/>
      <c r="I111" s="809"/>
      <c r="J111" s="809"/>
      <c r="K111" s="810">
        <f>[1]Sheet4!D58</f>
        <v>0</v>
      </c>
      <c r="L111" s="810"/>
      <c r="M111" s="810"/>
      <c r="N111" s="793">
        <f t="shared" si="24"/>
        <v>0</v>
      </c>
      <c r="O111" s="811"/>
    </row>
    <row r="112" spans="1:15" ht="16.5" customHeight="1" thickBot="1" x14ac:dyDescent="0.3">
      <c r="A112" s="796"/>
      <c r="B112" s="807" t="s">
        <v>802</v>
      </c>
      <c r="C112" s="808"/>
      <c r="D112" s="808"/>
      <c r="E112" s="809"/>
      <c r="F112" s="809"/>
      <c r="G112" s="809"/>
      <c r="H112" s="809"/>
      <c r="I112" s="809"/>
      <c r="J112" s="809"/>
      <c r="K112" s="810">
        <f>[1]Sheet4!D62+[1]Sheet4!D64+[1]Sheet4!D61</f>
        <v>3.2415965</v>
      </c>
      <c r="L112" s="810"/>
      <c r="M112" s="810"/>
      <c r="N112" s="793">
        <f>K112</f>
        <v>3.2415965</v>
      </c>
      <c r="O112" s="811"/>
    </row>
    <row r="113" spans="1:17" ht="24" customHeight="1" thickBot="1" x14ac:dyDescent="0.3">
      <c r="A113" s="796"/>
      <c r="B113" s="807" t="s">
        <v>803</v>
      </c>
      <c r="C113" s="808"/>
      <c r="D113" s="808"/>
      <c r="E113" s="809"/>
      <c r="F113" s="809"/>
      <c r="G113" s="809"/>
      <c r="H113" s="809"/>
      <c r="I113" s="809"/>
      <c r="J113" s="809"/>
      <c r="K113" s="810"/>
      <c r="L113" s="810"/>
      <c r="M113" s="810"/>
      <c r="N113" s="793">
        <f>[1]Sheet4!D65</f>
        <v>0</v>
      </c>
      <c r="O113" s="811"/>
    </row>
    <row r="114" spans="1:17" ht="24" customHeight="1" thickBot="1" x14ac:dyDescent="0.3">
      <c r="A114" s="796"/>
      <c r="B114" s="807" t="s">
        <v>733</v>
      </c>
      <c r="C114" s="808"/>
      <c r="D114" s="808"/>
      <c r="E114" s="809"/>
      <c r="F114" s="809"/>
      <c r="G114" s="809"/>
      <c r="H114" s="809"/>
      <c r="I114" s="809"/>
      <c r="J114" s="809"/>
      <c r="K114" s="811"/>
      <c r="L114" s="810"/>
      <c r="M114" s="810"/>
      <c r="N114" s="812">
        <f>[1]Sheet4!D71-0.69</f>
        <v>168.1074074</v>
      </c>
      <c r="O114" s="811"/>
    </row>
    <row r="115" spans="1:17" ht="16.5" customHeight="1" thickBot="1" x14ac:dyDescent="0.3">
      <c r="A115" s="796"/>
      <c r="B115" s="807" t="s">
        <v>785</v>
      </c>
      <c r="C115" s="808"/>
      <c r="D115" s="808"/>
      <c r="E115" s="809"/>
      <c r="F115" s="809"/>
      <c r="G115" s="809"/>
      <c r="H115" s="809"/>
      <c r="I115" s="809"/>
      <c r="J115" s="809"/>
      <c r="K115" s="811"/>
      <c r="L115" s="810"/>
      <c r="M115" s="810"/>
      <c r="N115" s="812">
        <f>[1]Sheet4!D72</f>
        <v>-29.610666200000001</v>
      </c>
      <c r="O115" s="811"/>
    </row>
    <row r="116" spans="1:17" ht="15.75" thickBot="1" x14ac:dyDescent="0.3">
      <c r="A116" s="796"/>
      <c r="B116" s="807" t="s">
        <v>709</v>
      </c>
      <c r="C116" s="808"/>
      <c r="D116" s="808"/>
      <c r="E116" s="809"/>
      <c r="F116" s="809"/>
      <c r="G116" s="809"/>
      <c r="H116" s="809"/>
      <c r="I116" s="809"/>
      <c r="J116" s="809"/>
      <c r="K116" s="810"/>
      <c r="L116" s="810"/>
      <c r="M116" s="810"/>
      <c r="N116" s="793"/>
      <c r="O116" s="811"/>
    </row>
    <row r="117" spans="1:17" x14ac:dyDescent="0.25">
      <c r="A117" s="714" t="s">
        <v>662</v>
      </c>
      <c r="B117" s="756" t="s">
        <v>431</v>
      </c>
      <c r="C117" s="757"/>
      <c r="D117" s="757"/>
      <c r="E117" s="741">
        <f>E98+E101</f>
        <v>8165.8438648199999</v>
      </c>
      <c r="F117" s="744">
        <f>F98+F105+F106+F107+F108+F109+F110+F111+F112+F114+F115</f>
        <v>31216.710594637429</v>
      </c>
      <c r="G117" s="744">
        <f>G38+G64+G71+G85+G95+G105+G109</f>
        <v>2521.6756061375877</v>
      </c>
      <c r="H117" s="744">
        <f>H38+H64+H71+H85+H95+H105+H109</f>
        <v>6481.7590686789154</v>
      </c>
      <c r="I117" s="744">
        <f>I38+I64+I71+I85+I95+I105+I109</f>
        <v>1.2733333729670049</v>
      </c>
      <c r="J117" s="744">
        <f>J38+J64+J71+J85+J95+J105+J109</f>
        <v>8.0819487210533989</v>
      </c>
      <c r="K117" s="744">
        <f>K98+K105+K106+K107+K108+K109+K110+K111+K112+K114</f>
        <v>14984.896203029613</v>
      </c>
      <c r="L117" s="744">
        <f>L38+L64+L71+L85+L95+L105+L109</f>
        <v>1685.6614709116443</v>
      </c>
      <c r="M117" s="744">
        <f>M98+M105+M106</f>
        <v>9215.6270303553847</v>
      </c>
      <c r="N117" s="744">
        <f>N98+N105+N106+N107+N108+N109+N110+N111+N112+N114+N115+N113</f>
        <v>15123.213698629615</v>
      </c>
      <c r="O117" s="728">
        <f>N117/F117*1000</f>
        <v>484.45891352907506</v>
      </c>
    </row>
    <row r="118" spans="1:17" hidden="1" x14ac:dyDescent="0.25">
      <c r="A118" s="796"/>
      <c r="B118" s="807" t="s">
        <v>709</v>
      </c>
      <c r="C118" s="808"/>
      <c r="D118" s="808"/>
      <c r="E118" s="809"/>
      <c r="F118" s="809"/>
      <c r="G118" s="809"/>
      <c r="H118" s="809"/>
      <c r="I118" s="809"/>
      <c r="J118" s="810"/>
      <c r="K118" s="810"/>
      <c r="L118" s="810"/>
      <c r="M118" s="810"/>
      <c r="N118" s="810"/>
      <c r="O118" s="811">
        <f>O108+O111+O116+O117</f>
        <v>484.45891352907506</v>
      </c>
    </row>
    <row r="119" spans="1:17" hidden="1" x14ac:dyDescent="0.25">
      <c r="A119" s="714" t="s">
        <v>662</v>
      </c>
      <c r="B119" s="756" t="s">
        <v>431</v>
      </c>
      <c r="C119" s="757"/>
      <c r="D119" s="757"/>
      <c r="E119" s="741"/>
      <c r="F119" s="744">
        <f>F43+F67+F73+F86+F95+F97+F106+F116</f>
        <v>1312.2159094839001</v>
      </c>
      <c r="G119" s="744">
        <f>G99</f>
        <v>1079.76</v>
      </c>
      <c r="H119" s="744"/>
      <c r="I119" s="747"/>
      <c r="J119" s="744">
        <f>J99</f>
        <v>0</v>
      </c>
      <c r="K119" s="747"/>
      <c r="L119" s="744"/>
      <c r="M119" s="744"/>
      <c r="N119" s="744">
        <f>N99</f>
        <v>0</v>
      </c>
      <c r="O119" s="744">
        <f>O43+O67+O73+O86+O95+O107+O106+O118+O97</f>
        <v>1355.583724634638</v>
      </c>
    </row>
    <row r="120" spans="1:17" x14ac:dyDescent="0.25">
      <c r="B120" s="813"/>
      <c r="C120" s="814"/>
      <c r="D120" s="814"/>
      <c r="E120" s="814"/>
      <c r="F120" s="815"/>
      <c r="G120" s="816"/>
      <c r="H120" s="816"/>
      <c r="I120" s="816"/>
      <c r="J120" s="816"/>
      <c r="K120" s="816"/>
      <c r="L120" s="816"/>
      <c r="M120" s="816"/>
      <c r="N120" s="815"/>
    </row>
    <row r="121" spans="1:17" x14ac:dyDescent="0.25">
      <c r="B121" s="817"/>
      <c r="C121" s="817"/>
      <c r="D121" s="817"/>
      <c r="E121" s="817"/>
      <c r="F121" s="815"/>
      <c r="G121" s="817"/>
      <c r="H121" s="817"/>
      <c r="I121" s="817"/>
      <c r="J121" s="817"/>
      <c r="K121" s="817"/>
      <c r="L121" s="817"/>
      <c r="M121" s="817"/>
      <c r="N121" s="815"/>
      <c r="O121" s="816"/>
      <c r="Q121" s="774"/>
    </row>
    <row r="122" spans="1:17" x14ac:dyDescent="0.25">
      <c r="C122" s="817"/>
      <c r="D122" s="819"/>
      <c r="E122" s="816"/>
      <c r="F122" s="815"/>
      <c r="G122" s="817"/>
      <c r="H122" s="820"/>
      <c r="I122" s="817"/>
      <c r="J122" s="817"/>
      <c r="K122" s="821"/>
      <c r="L122" s="817"/>
      <c r="M122" s="817"/>
      <c r="N122" s="818"/>
      <c r="O122" s="816"/>
    </row>
    <row r="123" spans="1:17" x14ac:dyDescent="0.25">
      <c r="B123" s="817"/>
      <c r="C123" s="817"/>
      <c r="D123" s="817"/>
      <c r="E123" s="817"/>
      <c r="F123" s="818"/>
      <c r="G123" s="817"/>
      <c r="H123" s="817"/>
      <c r="I123" s="817"/>
      <c r="J123" s="817"/>
      <c r="K123" s="821"/>
      <c r="L123" s="817"/>
      <c r="M123" s="817"/>
      <c r="N123" s="818"/>
      <c r="O123" s="816"/>
      <c r="Q123" s="774"/>
    </row>
    <row r="124" spans="1:17" x14ac:dyDescent="0.25">
      <c r="B124" s="817"/>
      <c r="C124" s="817"/>
      <c r="D124" s="817"/>
      <c r="E124" s="817"/>
      <c r="F124" s="821"/>
      <c r="G124" s="817"/>
      <c r="H124" s="817"/>
      <c r="I124" s="817"/>
      <c r="J124" s="817"/>
      <c r="K124" s="817"/>
      <c r="L124" s="817"/>
      <c r="M124" s="820"/>
      <c r="N124" s="817"/>
      <c r="O124" s="816"/>
    </row>
    <row r="125" spans="1:17" ht="15.75" thickBot="1" x14ac:dyDescent="0.3">
      <c r="B125" s="817"/>
      <c r="C125" s="817"/>
      <c r="D125" s="817"/>
      <c r="E125" s="817"/>
      <c r="F125" s="817"/>
      <c r="G125" s="817"/>
      <c r="H125" s="817"/>
      <c r="I125" s="817"/>
      <c r="J125" s="817"/>
      <c r="K125" s="817"/>
      <c r="L125" s="817"/>
      <c r="M125" s="817"/>
      <c r="N125" s="821"/>
      <c r="O125" s="815"/>
    </row>
    <row r="126" spans="1:17" x14ac:dyDescent="0.25">
      <c r="B126" s="817"/>
      <c r="C126" s="817"/>
      <c r="D126" s="817"/>
      <c r="E126" s="817"/>
      <c r="F126" s="799"/>
      <c r="G126" s="817"/>
      <c r="H126" s="817"/>
      <c r="I126" s="817"/>
      <c r="J126" s="817"/>
      <c r="K126" s="817"/>
      <c r="L126" s="817"/>
      <c r="M126" s="817"/>
      <c r="N126" s="817"/>
      <c r="O126" s="816"/>
    </row>
    <row r="127" spans="1:17" x14ac:dyDescent="0.25">
      <c r="B127" s="817"/>
      <c r="C127" s="817"/>
      <c r="D127" s="817"/>
      <c r="E127" s="817"/>
      <c r="F127" s="818"/>
      <c r="G127" s="817"/>
      <c r="H127" s="817"/>
      <c r="I127" s="817"/>
      <c r="J127" s="817"/>
      <c r="K127" s="817"/>
      <c r="L127" s="817"/>
      <c r="M127" s="817"/>
      <c r="N127" s="817"/>
      <c r="O127" s="816"/>
    </row>
    <row r="128" spans="1:17" x14ac:dyDescent="0.25">
      <c r="B128" s="817"/>
      <c r="C128" s="817"/>
      <c r="D128" s="817"/>
      <c r="E128" s="817"/>
      <c r="F128" s="821"/>
      <c r="G128" s="817"/>
      <c r="H128" s="817"/>
      <c r="I128" s="817"/>
      <c r="J128" s="817"/>
      <c r="K128" s="817"/>
      <c r="L128" s="817"/>
      <c r="M128" s="817"/>
      <c r="N128" s="817"/>
      <c r="O128" s="816"/>
    </row>
    <row r="129" spans="2:15" x14ac:dyDescent="0.25">
      <c r="B129" s="817"/>
      <c r="C129" s="817"/>
      <c r="D129" s="817"/>
      <c r="E129" s="817" t="s">
        <v>902</v>
      </c>
      <c r="F129" s="822"/>
      <c r="G129" s="817"/>
      <c r="H129" s="817"/>
      <c r="I129" s="817"/>
      <c r="J129" s="817"/>
      <c r="K129" s="817"/>
      <c r="L129" s="817"/>
      <c r="M129" s="817"/>
      <c r="N129" s="817"/>
      <c r="O129" s="816"/>
    </row>
    <row r="130" spans="2:15" x14ac:dyDescent="0.25">
      <c r="B130" s="817"/>
      <c r="C130" s="817"/>
      <c r="D130" s="817"/>
      <c r="E130" s="817" t="s">
        <v>903</v>
      </c>
      <c r="F130" s="823"/>
      <c r="G130" s="817"/>
      <c r="H130" s="817"/>
      <c r="I130" s="817"/>
      <c r="J130" s="817"/>
      <c r="K130" s="817"/>
      <c r="L130" s="817"/>
      <c r="M130" s="817"/>
      <c r="N130" s="817"/>
      <c r="O130" s="816"/>
    </row>
    <row r="131" spans="2:15" x14ac:dyDescent="0.25">
      <c r="B131" s="817"/>
      <c r="C131" s="817"/>
      <c r="D131" s="817"/>
      <c r="E131" s="817"/>
      <c r="F131" s="817"/>
      <c r="G131" s="817"/>
      <c r="H131" s="817"/>
      <c r="I131" s="817"/>
      <c r="J131" s="817"/>
      <c r="K131" s="817"/>
      <c r="L131" s="817"/>
      <c r="M131" s="817"/>
      <c r="N131" s="817"/>
      <c r="O131" s="816"/>
    </row>
    <row r="132" spans="2:15" x14ac:dyDescent="0.25">
      <c r="B132" s="817"/>
      <c r="C132" s="817"/>
      <c r="D132" s="817"/>
      <c r="E132" s="817"/>
      <c r="F132" s="817"/>
      <c r="G132" s="817"/>
      <c r="H132" s="817"/>
      <c r="I132" s="817"/>
      <c r="J132" s="817"/>
      <c r="K132" s="817"/>
      <c r="L132" s="817"/>
      <c r="M132" s="817"/>
      <c r="N132" s="817"/>
      <c r="O132" s="816"/>
    </row>
    <row r="133" spans="2:15" x14ac:dyDescent="0.25">
      <c r="B133" s="817"/>
      <c r="C133" s="817"/>
      <c r="D133" s="817"/>
      <c r="E133" s="817"/>
      <c r="F133" s="817"/>
      <c r="G133" s="817"/>
      <c r="H133" s="817"/>
      <c r="I133" s="817"/>
      <c r="J133" s="817"/>
      <c r="K133" s="817"/>
      <c r="L133" s="817"/>
      <c r="M133" s="817"/>
      <c r="N133" s="817"/>
      <c r="O133" s="816"/>
    </row>
    <row r="135" spans="2:15" ht="15.75" thickBot="1" x14ac:dyDescent="0.3"/>
    <row r="136" spans="2:15" ht="30" customHeight="1" thickBot="1" x14ac:dyDescent="0.3">
      <c r="C136" s="1793" t="s">
        <v>339</v>
      </c>
      <c r="D136" s="1795" t="s">
        <v>904</v>
      </c>
      <c r="E136" s="1796"/>
      <c r="M136" s="814"/>
      <c r="O136" s="708"/>
    </row>
    <row r="137" spans="2:15" ht="46.5" thickTop="1" thickBot="1" x14ac:dyDescent="0.3">
      <c r="C137" s="1794"/>
      <c r="D137" s="824" t="s">
        <v>905</v>
      </c>
      <c r="E137" s="824" t="s">
        <v>906</v>
      </c>
      <c r="M137" s="814"/>
      <c r="O137" s="708"/>
    </row>
    <row r="138" spans="2:15" ht="33" thickTop="1" thickBot="1" x14ac:dyDescent="0.3">
      <c r="C138" s="825" t="s">
        <v>687</v>
      </c>
      <c r="D138" s="826">
        <f>F24</f>
        <v>1744.1988193915599</v>
      </c>
      <c r="E138" s="826">
        <f>N24</f>
        <v>189.40202813991687</v>
      </c>
      <c r="M138" s="814"/>
      <c r="O138" s="708"/>
    </row>
    <row r="139" spans="2:15" ht="48" thickBot="1" x14ac:dyDescent="0.3">
      <c r="C139" s="827" t="s">
        <v>907</v>
      </c>
      <c r="D139" s="828">
        <f>F33</f>
        <v>8452.6454125</v>
      </c>
      <c r="E139" s="828">
        <f>N33</f>
        <v>3648.4722627321016</v>
      </c>
      <c r="M139" s="814"/>
      <c r="O139" s="708"/>
    </row>
    <row r="140" spans="2:15" ht="18" thickBot="1" x14ac:dyDescent="0.3">
      <c r="C140" s="829" t="s">
        <v>908</v>
      </c>
      <c r="D140" s="826">
        <f>F64</f>
        <v>11016.520518940504</v>
      </c>
      <c r="E140" s="826">
        <f>N64-N59</f>
        <v>4234.8450243999996</v>
      </c>
      <c r="M140" s="814"/>
      <c r="O140" s="708"/>
    </row>
    <row r="141" spans="2:15" ht="32.25" thickBot="1" x14ac:dyDescent="0.3">
      <c r="C141" s="827" t="s">
        <v>909</v>
      </c>
      <c r="D141" s="830">
        <f>F66</f>
        <v>3336.7918755092051</v>
      </c>
      <c r="E141" s="830">
        <f>N66</f>
        <v>1676.648565901093</v>
      </c>
      <c r="M141" s="814"/>
      <c r="O141" s="708"/>
    </row>
    <row r="142" spans="2:15" ht="18" thickBot="1" x14ac:dyDescent="0.3">
      <c r="C142" s="829" t="s">
        <v>910</v>
      </c>
      <c r="D142" s="826">
        <f>F85-F83+F37</f>
        <v>4697.9996887404668</v>
      </c>
      <c r="E142" s="826">
        <f>N85-N83+N37</f>
        <v>2043.6398514565042</v>
      </c>
      <c r="M142" s="814"/>
      <c r="O142" s="708"/>
    </row>
    <row r="143" spans="2:15" ht="35.25" thickBot="1" x14ac:dyDescent="0.3">
      <c r="C143" s="831" t="s">
        <v>524</v>
      </c>
      <c r="D143" s="828"/>
      <c r="E143" s="828"/>
      <c r="M143" s="814"/>
      <c r="O143" s="708"/>
    </row>
    <row r="144" spans="2:15" ht="32.25" thickBot="1" x14ac:dyDescent="0.3">
      <c r="C144" s="832" t="s">
        <v>809</v>
      </c>
      <c r="D144" s="826">
        <f>F101</f>
        <v>1917.7427047374933</v>
      </c>
      <c r="E144" s="826">
        <f>N101</f>
        <v>782.63784169999997</v>
      </c>
      <c r="M144" s="814"/>
      <c r="O144" s="708"/>
    </row>
    <row r="145" spans="3:15" ht="104.25" thickBot="1" x14ac:dyDescent="0.3">
      <c r="C145" s="831" t="s">
        <v>911</v>
      </c>
      <c r="D145" s="830">
        <f>F103+F104+F95+F96</f>
        <v>109.4962788182</v>
      </c>
      <c r="E145" s="830">
        <f>N103+N95</f>
        <v>53.681514700000001</v>
      </c>
      <c r="M145" s="814"/>
      <c r="O145" s="708"/>
    </row>
    <row r="146" spans="3:15" ht="138.75" thickBot="1" x14ac:dyDescent="0.3">
      <c r="C146" s="829" t="s">
        <v>912</v>
      </c>
      <c r="D146" s="826">
        <f>F83</f>
        <v>0</v>
      </c>
      <c r="E146" s="826">
        <f>N83</f>
        <v>0</v>
      </c>
      <c r="M146" s="814"/>
      <c r="O146" s="708"/>
    </row>
    <row r="147" spans="3:15" ht="138.75" thickBot="1" x14ac:dyDescent="0.3">
      <c r="C147" s="831" t="s">
        <v>913</v>
      </c>
      <c r="D147" s="833"/>
      <c r="E147" s="830">
        <f>N106+N107+N108+N59+1.29</f>
        <v>2388.4582743000001</v>
      </c>
      <c r="M147" s="814"/>
      <c r="O147" s="708"/>
    </row>
    <row r="148" spans="3:15" ht="104.25" thickBot="1" x14ac:dyDescent="0.3">
      <c r="C148" s="829" t="s">
        <v>914</v>
      </c>
      <c r="D148" s="826">
        <f>F109</f>
        <v>-88.285000000000011</v>
      </c>
      <c r="E148" s="826">
        <f>K109</f>
        <v>-47.245000000000005</v>
      </c>
      <c r="M148" s="814"/>
      <c r="O148" s="708"/>
    </row>
    <row r="149" spans="3:15" ht="63.75" thickBot="1" x14ac:dyDescent="0.3">
      <c r="C149" s="834" t="s">
        <v>915</v>
      </c>
      <c r="D149" s="833"/>
      <c r="E149" s="828"/>
      <c r="M149" s="814"/>
      <c r="O149" s="708"/>
    </row>
    <row r="150" spans="3:15" ht="16.5" thickBot="1" x14ac:dyDescent="0.3">
      <c r="C150" s="835" t="s">
        <v>119</v>
      </c>
      <c r="D150" s="836"/>
      <c r="E150" s="836"/>
      <c r="M150" s="814"/>
      <c r="O150" s="708"/>
    </row>
    <row r="151" spans="3:15" x14ac:dyDescent="0.25">
      <c r="D151" s="774">
        <f>SUM(D138:D150)</f>
        <v>31187.110298637428</v>
      </c>
      <c r="E151" s="774">
        <f>SUM(E138:E150)</f>
        <v>14970.540363329614</v>
      </c>
      <c r="F151" s="774"/>
      <c r="G151" s="774"/>
    </row>
  </sheetData>
  <mergeCells count="14">
    <mergeCell ref="A1:O1"/>
    <mergeCell ref="A2:O2"/>
    <mergeCell ref="A3:O3"/>
    <mergeCell ref="A4:A5"/>
    <mergeCell ref="B4:B5"/>
    <mergeCell ref="C4:C5"/>
    <mergeCell ref="E4:E5"/>
    <mergeCell ref="F4:O4"/>
    <mergeCell ref="C136:C137"/>
    <mergeCell ref="D136:E136"/>
    <mergeCell ref="A6:B6"/>
    <mergeCell ref="G20:G21"/>
    <mergeCell ref="H20:H21"/>
    <mergeCell ref="I20:I21"/>
  </mergeCells>
  <printOptions horizontalCentered="1"/>
  <pageMargins left="0.21" right="0.23" top="0.45" bottom="0.46" header="0.38" footer="0.3"/>
  <pageSetup paperSize="9" scale="30" fitToWidth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5"/>
  <sheetViews>
    <sheetView workbookViewId="0">
      <selection activeCell="Z75" sqref="Z75"/>
    </sheetView>
  </sheetViews>
  <sheetFormatPr defaultRowHeight="12.75" x14ac:dyDescent="0.2"/>
  <cols>
    <col min="1" max="1" width="59.85546875" customWidth="1"/>
    <col min="2" max="8" width="0" hidden="1" customWidth="1"/>
  </cols>
  <sheetData>
    <row r="1" spans="1:27" ht="15.75" x14ac:dyDescent="0.25">
      <c r="A1" s="1814" t="s">
        <v>341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814"/>
      <c r="R1" s="1814"/>
      <c r="S1" s="1814"/>
      <c r="T1" s="1814"/>
      <c r="U1" s="1814"/>
      <c r="V1" s="1814"/>
      <c r="W1" s="1814"/>
      <c r="X1" s="1814"/>
      <c r="Y1" s="1814"/>
      <c r="Z1" s="1814"/>
      <c r="AA1" s="1814"/>
    </row>
    <row r="2" spans="1:27" ht="15.75" x14ac:dyDescent="0.2">
      <c r="A2" s="1815" t="s">
        <v>953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6"/>
      <c r="Z2" s="1816"/>
      <c r="AA2" s="1816"/>
    </row>
    <row r="3" spans="1:27" ht="15.75" x14ac:dyDescent="0.2">
      <c r="A3" s="961"/>
      <c r="B3" s="1817" t="s">
        <v>954</v>
      </c>
      <c r="C3" s="1817"/>
      <c r="D3" s="1817"/>
      <c r="E3" s="1817"/>
      <c r="F3" s="1817"/>
      <c r="G3" s="1817"/>
      <c r="H3" s="1818"/>
      <c r="I3" s="1819" t="s">
        <v>955</v>
      </c>
      <c r="J3" s="1820"/>
      <c r="K3" s="1820"/>
      <c r="L3" s="1820"/>
      <c r="M3" s="1820"/>
      <c r="N3" s="1820"/>
      <c r="O3" s="962"/>
      <c r="P3" s="1819" t="s">
        <v>956</v>
      </c>
      <c r="Q3" s="1820"/>
      <c r="R3" s="1820"/>
      <c r="S3" s="1820"/>
      <c r="T3" s="1820"/>
      <c r="U3" s="1820"/>
      <c r="V3" s="1819" t="s">
        <v>957</v>
      </c>
      <c r="W3" s="1820"/>
      <c r="X3" s="1820"/>
      <c r="Y3" s="1820"/>
      <c r="Z3" s="1820"/>
      <c r="AA3" s="1820"/>
    </row>
    <row r="4" spans="1:27" ht="99.75" x14ac:dyDescent="0.2">
      <c r="A4" s="963" t="s">
        <v>958</v>
      </c>
      <c r="B4" s="963" t="s">
        <v>959</v>
      </c>
      <c r="C4" s="964" t="s">
        <v>960</v>
      </c>
      <c r="D4" s="964" t="s">
        <v>961</v>
      </c>
      <c r="E4" s="965" t="s">
        <v>962</v>
      </c>
      <c r="F4" s="965" t="s">
        <v>963</v>
      </c>
      <c r="G4" s="965" t="s">
        <v>964</v>
      </c>
      <c r="H4" s="966" t="s">
        <v>965</v>
      </c>
      <c r="I4" s="967" t="s">
        <v>966</v>
      </c>
      <c r="J4" s="967" t="s">
        <v>961</v>
      </c>
      <c r="K4" s="968" t="s">
        <v>962</v>
      </c>
      <c r="L4" s="968" t="s">
        <v>963</v>
      </c>
      <c r="M4" s="968" t="s">
        <v>964</v>
      </c>
      <c r="N4" s="968" t="s">
        <v>965</v>
      </c>
      <c r="O4" s="969"/>
      <c r="P4" s="967" t="s">
        <v>967</v>
      </c>
      <c r="Q4" s="967" t="s">
        <v>968</v>
      </c>
      <c r="R4" s="968" t="s">
        <v>962</v>
      </c>
      <c r="S4" s="967" t="s">
        <v>969</v>
      </c>
      <c r="T4" s="967" t="s">
        <v>970</v>
      </c>
      <c r="U4" s="968" t="s">
        <v>965</v>
      </c>
      <c r="V4" s="967" t="s">
        <v>967</v>
      </c>
      <c r="W4" s="967" t="s">
        <v>961</v>
      </c>
      <c r="X4" s="968" t="s">
        <v>962</v>
      </c>
      <c r="Y4" s="968" t="s">
        <v>963</v>
      </c>
      <c r="Z4" s="968" t="s">
        <v>964</v>
      </c>
      <c r="AA4" s="967" t="s">
        <v>971</v>
      </c>
    </row>
    <row r="5" spans="1:27" ht="15.75" x14ac:dyDescent="0.25">
      <c r="A5" s="970" t="s">
        <v>972</v>
      </c>
      <c r="B5" s="971"/>
      <c r="C5" s="971"/>
      <c r="D5" s="971"/>
      <c r="E5" s="971"/>
      <c r="F5" s="971"/>
      <c r="G5" s="971"/>
      <c r="H5" s="972"/>
      <c r="I5" s="361"/>
      <c r="J5" s="361"/>
      <c r="K5" s="361"/>
      <c r="L5" s="361"/>
      <c r="M5" s="361"/>
      <c r="N5" s="361"/>
      <c r="O5" s="97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</row>
    <row r="6" spans="1:27" ht="15.75" x14ac:dyDescent="0.2">
      <c r="A6" s="974" t="s">
        <v>973</v>
      </c>
      <c r="B6" s="975">
        <v>68.400000000000006</v>
      </c>
      <c r="C6" s="976">
        <v>5664.43</v>
      </c>
      <c r="D6" s="976">
        <v>586.91</v>
      </c>
      <c r="E6" s="976">
        <v>3.13</v>
      </c>
      <c r="F6" s="976">
        <v>1772.97</v>
      </c>
      <c r="G6" s="976">
        <v>2359.87</v>
      </c>
      <c r="H6" s="977">
        <v>4.17</v>
      </c>
      <c r="I6" s="446">
        <f>'[12]Actuals apprd'!$F$26</f>
        <v>2187.0794839999999</v>
      </c>
      <c r="J6" s="446">
        <f>'[12]Actuals apprd'!$G$26</f>
        <v>199.35710812761926</v>
      </c>
      <c r="K6" s="446">
        <f>L6/I6*10</f>
        <v>3.4834111053434489</v>
      </c>
      <c r="L6" s="446">
        <f>'[12]Actuals apprd'!$H$26</f>
        <v>761.84969628344197</v>
      </c>
      <c r="M6" s="446">
        <f>J6+L6</f>
        <v>961.20680441106128</v>
      </c>
      <c r="N6" s="446">
        <f>M6/I6*10</f>
        <v>4.3949331125958349</v>
      </c>
      <c r="O6" s="978">
        <f>C6-(C6*0.97%)</f>
        <v>5609.4850290000004</v>
      </c>
      <c r="P6" s="446">
        <f>O6-I6</f>
        <v>3422.4055450000005</v>
      </c>
      <c r="Q6" s="446">
        <f>J6</f>
        <v>199.35710812761926</v>
      </c>
      <c r="R6" s="446"/>
      <c r="S6" s="446">
        <f>P6*K6/10</f>
        <v>1192.1645482442</v>
      </c>
      <c r="T6" s="446">
        <f>Q6+S6</f>
        <v>1391.5216563718193</v>
      </c>
      <c r="U6" s="446">
        <f>T6/P6*10</f>
        <v>4.0659169057412772</v>
      </c>
      <c r="V6" s="446">
        <f>I6+P6</f>
        <v>5609.4850290000004</v>
      </c>
      <c r="W6" s="447">
        <f>J6+Q6</f>
        <v>398.71421625523851</v>
      </c>
      <c r="X6" s="447">
        <f>Y6/V6*10</f>
        <v>3.4834111053434484</v>
      </c>
      <c r="Y6" s="447">
        <f>L6+S6</f>
        <v>1954.0142445276419</v>
      </c>
      <c r="Z6" s="447">
        <f>Y6+W6</f>
        <v>2352.7284607828806</v>
      </c>
      <c r="AA6" s="447">
        <f>Z6/V6*10</f>
        <v>4.1941968801408853</v>
      </c>
    </row>
    <row r="7" spans="1:27" ht="15.75" x14ac:dyDescent="0.2">
      <c r="A7" s="974" t="s">
        <v>974</v>
      </c>
      <c r="B7" s="975">
        <v>66</v>
      </c>
      <c r="C7" s="976">
        <v>784.05</v>
      </c>
      <c r="D7" s="976">
        <v>153.22</v>
      </c>
      <c r="E7" s="976">
        <v>3.06</v>
      </c>
      <c r="F7" s="976">
        <v>240.08</v>
      </c>
      <c r="G7" s="976">
        <v>393.29</v>
      </c>
      <c r="H7" s="977">
        <v>5.0199999999999996</v>
      </c>
      <c r="I7" s="446">
        <f>'[12]Actuals apprd'!F27</f>
        <v>380.54055399999999</v>
      </c>
      <c r="J7" s="446">
        <f>'[12]Actuals apprd'!G27</f>
        <v>74.957227425882365</v>
      </c>
      <c r="K7" s="446">
        <f t="shared" ref="K7:K12" si="0">L7/I7*10</f>
        <v>3.3491756833885304</v>
      </c>
      <c r="L7" s="446">
        <f>'[12]Actuals apprd'!H27</f>
        <v>127.44971700000001</v>
      </c>
      <c r="M7" s="446">
        <f>J7+L7</f>
        <v>202.40694442588239</v>
      </c>
      <c r="N7" s="446">
        <f t="shared" ref="N7:N12" si="1">M7/I7*10</f>
        <v>5.31893230033723</v>
      </c>
      <c r="O7" s="978">
        <f t="shared" ref="O7:O12" si="2">C7-(C7*0.97%)</f>
        <v>776.44471499999997</v>
      </c>
      <c r="P7" s="446">
        <f t="shared" ref="P7:P12" si="3">O7-I7</f>
        <v>395.90416099999999</v>
      </c>
      <c r="Q7" s="446">
        <f>J7</f>
        <v>74.957227425882365</v>
      </c>
      <c r="R7" s="446"/>
      <c r="S7" s="446">
        <f t="shared" ref="S7:S12" si="4">P7*K7/10</f>
        <v>132.59525889735377</v>
      </c>
      <c r="T7" s="446">
        <f t="shared" ref="T7:T12" si="5">Q7+S7</f>
        <v>207.55248632323614</v>
      </c>
      <c r="U7" s="446">
        <f t="shared" ref="U7:U13" si="6">T7/P7*10</f>
        <v>5.2424931781213626</v>
      </c>
      <c r="V7" s="446">
        <f t="shared" ref="V7:W70" si="7">I7+P7</f>
        <v>776.44471499999997</v>
      </c>
      <c r="W7" s="447">
        <f t="shared" si="7"/>
        <v>149.91445485176473</v>
      </c>
      <c r="X7" s="447">
        <f>Y7/V7*10</f>
        <v>3.3491756833885304</v>
      </c>
      <c r="Y7" s="447">
        <f>L7+S7</f>
        <v>260.04497589735377</v>
      </c>
      <c r="Z7" s="447">
        <f t="shared" ref="Z7:Z68" si="8">Y7+W7</f>
        <v>409.9594307491185</v>
      </c>
      <c r="AA7" s="447">
        <f t="shared" ref="AA7:AA68" si="9">Z7/V7*10</f>
        <v>5.2799564840765072</v>
      </c>
    </row>
    <row r="8" spans="1:27" ht="15.75" x14ac:dyDescent="0.2">
      <c r="A8" s="974" t="s">
        <v>975</v>
      </c>
      <c r="B8" s="975">
        <v>66</v>
      </c>
      <c r="C8" s="976">
        <v>1440.73</v>
      </c>
      <c r="D8" s="976">
        <v>204.66</v>
      </c>
      <c r="E8" s="976">
        <v>3.75</v>
      </c>
      <c r="F8" s="976">
        <v>540.28</v>
      </c>
      <c r="G8" s="976">
        <v>744.93</v>
      </c>
      <c r="H8" s="977">
        <v>5.17</v>
      </c>
      <c r="I8" s="446">
        <f>'[12]Actuals apprd'!F28</f>
        <v>435.21521999999999</v>
      </c>
      <c r="J8" s="446">
        <f>'[12]Actuals apprd'!G28</f>
        <v>95.780255998489679</v>
      </c>
      <c r="K8" s="446">
        <f t="shared" si="0"/>
        <v>3.8531106790735374</v>
      </c>
      <c r="L8" s="446">
        <f>'[12]Actuals apprd'!H28</f>
        <v>167.69324118773389</v>
      </c>
      <c r="M8" s="446">
        <f>J8+L8</f>
        <v>263.47349718622354</v>
      </c>
      <c r="N8" s="446">
        <f t="shared" si="1"/>
        <v>6.0538668014924557</v>
      </c>
      <c r="O8" s="978">
        <f>C8-(C8*0.97%)-200</f>
        <v>1226.754919</v>
      </c>
      <c r="P8" s="446">
        <f>O8-I8-0.86</f>
        <v>790.67969899999991</v>
      </c>
      <c r="Q8" s="446">
        <f>J8</f>
        <v>95.780255998489679</v>
      </c>
      <c r="R8" s="446"/>
      <c r="S8" s="446">
        <f t="shared" si="4"/>
        <v>304.657639194355</v>
      </c>
      <c r="T8" s="446">
        <f t="shared" si="5"/>
        <v>400.43789519284468</v>
      </c>
      <c r="U8" s="446">
        <f t="shared" si="6"/>
        <v>5.0644767495522194</v>
      </c>
      <c r="V8" s="446">
        <f t="shared" si="7"/>
        <v>1225.8949189999998</v>
      </c>
      <c r="W8" s="447">
        <f t="shared" si="7"/>
        <v>191.56051199697936</v>
      </c>
      <c r="X8" s="447">
        <f>Y8/V8*10</f>
        <v>3.8531106790735379</v>
      </c>
      <c r="Y8" s="447">
        <f>L8+S8</f>
        <v>472.35088038208892</v>
      </c>
      <c r="Z8" s="447">
        <f t="shared" si="8"/>
        <v>663.91139237906827</v>
      </c>
      <c r="AA8" s="447">
        <f t="shared" si="9"/>
        <v>5.4157283963672942</v>
      </c>
    </row>
    <row r="9" spans="1:27" ht="15.75" x14ac:dyDescent="0.2">
      <c r="A9" s="974" t="s">
        <v>976</v>
      </c>
      <c r="B9" s="975">
        <v>66</v>
      </c>
      <c r="C9" s="976">
        <v>1672.44</v>
      </c>
      <c r="D9" s="976">
        <v>310.52</v>
      </c>
      <c r="E9" s="976">
        <v>3.4</v>
      </c>
      <c r="F9" s="976">
        <v>568.63</v>
      </c>
      <c r="G9" s="976">
        <v>879.15</v>
      </c>
      <c r="H9" s="977">
        <v>5.26</v>
      </c>
      <c r="I9" s="446">
        <f>'[12]Actuals apprd'!F29</f>
        <v>237.66468</v>
      </c>
      <c r="J9" s="446">
        <f>'[12]Actuals apprd'!G29</f>
        <v>151.585751526</v>
      </c>
      <c r="K9" s="446">
        <f t="shared" si="0"/>
        <v>3.3921436084065997</v>
      </c>
      <c r="L9" s="446">
        <f>'[12]Actuals apprd'!H29</f>
        <v>80.619272520599992</v>
      </c>
      <c r="M9" s="446">
        <f>J9+L9</f>
        <v>232.20502404659999</v>
      </c>
      <c r="N9" s="446">
        <f t="shared" si="1"/>
        <v>9.7702790354292439</v>
      </c>
      <c r="O9" s="978">
        <f>C9-(C9*0.97%)</f>
        <v>1656.2173319999999</v>
      </c>
      <c r="P9" s="446">
        <f>O9-I9-95.51</f>
        <v>1323.0426519999999</v>
      </c>
      <c r="Q9" s="446">
        <f>J9</f>
        <v>151.585751526</v>
      </c>
      <c r="R9" s="446"/>
      <c r="S9" s="446">
        <f t="shared" si="4"/>
        <v>448.79506756311167</v>
      </c>
      <c r="T9" s="446">
        <f t="shared" si="5"/>
        <v>600.3808190891117</v>
      </c>
      <c r="U9" s="446">
        <f t="shared" si="6"/>
        <v>4.5378795474320945</v>
      </c>
      <c r="V9" s="446">
        <f t="shared" si="7"/>
        <v>1560.707332</v>
      </c>
      <c r="W9" s="447">
        <f t="shared" si="7"/>
        <v>303.17150305199999</v>
      </c>
      <c r="X9" s="447">
        <f>Y9/V9*10</f>
        <v>3.3921436084065992</v>
      </c>
      <c r="Y9" s="447">
        <f>L9+S9</f>
        <v>529.41434008371164</v>
      </c>
      <c r="Z9" s="447">
        <f t="shared" si="8"/>
        <v>832.58584313571168</v>
      </c>
      <c r="AA9" s="447">
        <f t="shared" si="9"/>
        <v>5.3346699029649445</v>
      </c>
    </row>
    <row r="10" spans="1:27" ht="15.75" x14ac:dyDescent="0.2">
      <c r="A10" s="974" t="s">
        <v>977</v>
      </c>
      <c r="B10" s="975">
        <v>66</v>
      </c>
      <c r="C10" s="976">
        <v>528</v>
      </c>
      <c r="D10" s="976">
        <v>0</v>
      </c>
      <c r="E10" s="976">
        <v>3.12</v>
      </c>
      <c r="F10" s="976">
        <v>164.74</v>
      </c>
      <c r="G10" s="976">
        <v>164.74</v>
      </c>
      <c r="H10" s="977">
        <v>3.12</v>
      </c>
      <c r="I10" s="446">
        <f>'[12]Actuals apprd'!F30</f>
        <v>208.600854</v>
      </c>
      <c r="J10" s="446">
        <f>'[12]Actuals apprd'!G30</f>
        <v>280.29355588235296</v>
      </c>
      <c r="K10" s="446">
        <f t="shared" si="0"/>
        <v>3.4141497330111603</v>
      </c>
      <c r="L10" s="446">
        <f>'[12]Actuals apprd'!H30</f>
        <v>71.219454999000007</v>
      </c>
      <c r="M10" s="446">
        <f>J10+L10</f>
        <v>351.51301088135295</v>
      </c>
      <c r="N10" s="446">
        <f t="shared" si="1"/>
        <v>16.850986184426308</v>
      </c>
      <c r="O10" s="978">
        <f t="shared" si="2"/>
        <v>522.87840000000006</v>
      </c>
      <c r="P10" s="446">
        <f t="shared" si="3"/>
        <v>314.27754600000003</v>
      </c>
      <c r="Q10" s="446">
        <f>J10</f>
        <v>280.29355588235296</v>
      </c>
      <c r="R10" s="446"/>
      <c r="S10" s="446">
        <f t="shared" si="4"/>
        <v>107.29905997673026</v>
      </c>
      <c r="T10" s="446">
        <f t="shared" si="5"/>
        <v>387.59261585908325</v>
      </c>
      <c r="U10" s="446">
        <f t="shared" si="6"/>
        <v>12.332812852595049</v>
      </c>
      <c r="V10" s="446">
        <f t="shared" si="7"/>
        <v>522.87840000000006</v>
      </c>
      <c r="W10" s="447">
        <f t="shared" si="7"/>
        <v>560.58711176470592</v>
      </c>
      <c r="X10" s="447">
        <f>Y10/V10*10</f>
        <v>3.4141497330111603</v>
      </c>
      <c r="Y10" s="447">
        <f>L10+S10</f>
        <v>178.51851497573028</v>
      </c>
      <c r="Z10" s="447">
        <f t="shared" si="8"/>
        <v>739.10562674043626</v>
      </c>
      <c r="AA10" s="447">
        <f t="shared" si="9"/>
        <v>14.135325282903946</v>
      </c>
    </row>
    <row r="11" spans="1:27" ht="15.75" x14ac:dyDescent="0.2">
      <c r="A11" s="974" t="s">
        <v>978</v>
      </c>
      <c r="B11" s="975">
        <v>66</v>
      </c>
      <c r="C11" s="976">
        <v>528</v>
      </c>
      <c r="D11" s="976">
        <v>0</v>
      </c>
      <c r="E11" s="976">
        <v>2.34</v>
      </c>
      <c r="F11" s="976">
        <v>123.55</v>
      </c>
      <c r="G11" s="976">
        <v>123.55</v>
      </c>
      <c r="H11" s="977">
        <v>2.34</v>
      </c>
      <c r="I11" s="446">
        <f>'[12]Actuals apprd'!F31</f>
        <v>0</v>
      </c>
      <c r="J11" s="446"/>
      <c r="K11" s="446"/>
      <c r="L11" s="446"/>
      <c r="M11" s="446"/>
      <c r="N11" s="446"/>
      <c r="O11" s="978"/>
      <c r="P11" s="446"/>
      <c r="Q11" s="446"/>
      <c r="R11" s="446"/>
      <c r="S11" s="446"/>
      <c r="T11" s="446"/>
      <c r="U11" s="446"/>
      <c r="V11" s="446">
        <f t="shared" si="7"/>
        <v>0</v>
      </c>
      <c r="W11" s="447"/>
      <c r="X11" s="447"/>
      <c r="Y11" s="447"/>
      <c r="Z11" s="447"/>
      <c r="AA11" s="447"/>
    </row>
    <row r="12" spans="1:27" ht="15.75" x14ac:dyDescent="0.2">
      <c r="A12" s="974" t="s">
        <v>978</v>
      </c>
      <c r="B12" s="975">
        <v>66</v>
      </c>
      <c r="C12" s="976">
        <v>528</v>
      </c>
      <c r="D12" s="976">
        <v>0</v>
      </c>
      <c r="E12" s="976">
        <v>2.34</v>
      </c>
      <c r="F12" s="976">
        <v>123.55</v>
      </c>
      <c r="G12" s="976">
        <v>123.55</v>
      </c>
      <c r="H12" s="977">
        <v>2.34</v>
      </c>
      <c r="I12" s="446">
        <f>'[12]Actuals apprd'!F32</f>
        <v>331.44078000000002</v>
      </c>
      <c r="J12" s="446">
        <v>251.74</v>
      </c>
      <c r="K12" s="446">
        <f t="shared" si="0"/>
        <v>2.3883602977279978</v>
      </c>
      <c r="L12" s="446">
        <v>79.16</v>
      </c>
      <c r="M12" s="446">
        <f>'[12]Actuals apprd'!$K$32</f>
        <v>330.90113969647058</v>
      </c>
      <c r="N12" s="446">
        <f t="shared" si="1"/>
        <v>9.9837183492167298</v>
      </c>
      <c r="O12" s="978">
        <f t="shared" si="2"/>
        <v>522.87840000000006</v>
      </c>
      <c r="P12" s="446">
        <f t="shared" si="3"/>
        <v>191.43762000000004</v>
      </c>
      <c r="Q12" s="446">
        <v>230</v>
      </c>
      <c r="R12" s="446"/>
      <c r="S12" s="446">
        <f t="shared" si="4"/>
        <v>45.722201109953943</v>
      </c>
      <c r="T12" s="446">
        <f t="shared" si="5"/>
        <v>275.72220110995397</v>
      </c>
      <c r="U12" s="446">
        <f t="shared" si="6"/>
        <v>14.402717768323379</v>
      </c>
      <c r="V12" s="446">
        <f t="shared" si="7"/>
        <v>522.87840000000006</v>
      </c>
      <c r="W12" s="447">
        <f t="shared" si="7"/>
        <v>481.74</v>
      </c>
      <c r="X12" s="447">
        <f>Y12/V12*10</f>
        <v>2.3883602977279978</v>
      </c>
      <c r="Y12" s="447">
        <f>L12+S12</f>
        <v>124.88220110995394</v>
      </c>
      <c r="Z12" s="447">
        <f t="shared" si="8"/>
        <v>606.62220110995395</v>
      </c>
      <c r="AA12" s="447">
        <f t="shared" si="9"/>
        <v>11.601592284361983</v>
      </c>
    </row>
    <row r="13" spans="1:27" ht="15.75" x14ac:dyDescent="0.2">
      <c r="A13" s="979" t="s">
        <v>979</v>
      </c>
      <c r="B13" s="980"/>
      <c r="C13" s="981">
        <f>SUM(C6:C12)</f>
        <v>11145.650000000001</v>
      </c>
      <c r="D13" s="981">
        <f>SUM(D6:D12)</f>
        <v>1255.31</v>
      </c>
      <c r="E13" s="981">
        <v>3.17</v>
      </c>
      <c r="F13" s="981">
        <f>SUM(F6:F12)</f>
        <v>3533.8</v>
      </c>
      <c r="G13" s="981">
        <f>SUM(G6:G12)</f>
        <v>4789.08</v>
      </c>
      <c r="H13" s="982">
        <v>4.3</v>
      </c>
      <c r="I13" s="983">
        <f>SUM(I6:I12)</f>
        <v>3780.5415719999996</v>
      </c>
      <c r="J13" s="983">
        <f>SUM(J6:J12)</f>
        <v>1053.7138989603443</v>
      </c>
      <c r="K13" s="983">
        <v>3.17</v>
      </c>
      <c r="L13" s="983">
        <f>SUM(L6:L12)</f>
        <v>1287.9913819907758</v>
      </c>
      <c r="M13" s="983">
        <f>SUM(M6:M12)</f>
        <v>2341.7064206475907</v>
      </c>
      <c r="N13" s="983">
        <f>M13/I13*10</f>
        <v>6.1941030829844044</v>
      </c>
      <c r="O13" s="984">
        <f t="shared" ref="O13:T13" si="10">SUM(O6:O12)</f>
        <v>10314.658794999999</v>
      </c>
      <c r="P13" s="983">
        <f t="shared" si="10"/>
        <v>6437.7472230000003</v>
      </c>
      <c r="Q13" s="983">
        <f t="shared" si="10"/>
        <v>1031.9738989603443</v>
      </c>
      <c r="R13" s="983">
        <f t="shared" si="10"/>
        <v>0</v>
      </c>
      <c r="S13" s="983">
        <f t="shared" si="10"/>
        <v>2231.2337749857047</v>
      </c>
      <c r="T13" s="983">
        <f t="shared" si="10"/>
        <v>3263.207673946049</v>
      </c>
      <c r="U13" s="446">
        <f t="shared" si="6"/>
        <v>5.0688658018253001</v>
      </c>
      <c r="V13" s="490">
        <f t="shared" si="7"/>
        <v>10218.288795</v>
      </c>
      <c r="W13" s="985">
        <f t="shared" si="7"/>
        <v>2085.6877979206884</v>
      </c>
      <c r="X13" s="985"/>
      <c r="Y13" s="985">
        <f>L13+S13</f>
        <v>3519.2251569764803</v>
      </c>
      <c r="Z13" s="985">
        <f t="shared" si="8"/>
        <v>5604.9129548971687</v>
      </c>
      <c r="AA13" s="985">
        <f t="shared" si="9"/>
        <v>5.4851776724491854</v>
      </c>
    </row>
    <row r="14" spans="1:27" ht="15.75" x14ac:dyDescent="0.2">
      <c r="A14" s="974" t="s">
        <v>980</v>
      </c>
      <c r="B14" s="986"/>
      <c r="C14" s="986"/>
      <c r="D14" s="986"/>
      <c r="E14" s="986"/>
      <c r="F14" s="986"/>
      <c r="G14" s="986"/>
      <c r="H14" s="987"/>
      <c r="I14" s="445"/>
      <c r="J14" s="445"/>
      <c r="K14" s="445"/>
      <c r="L14" s="445"/>
      <c r="M14" s="445"/>
      <c r="N14" s="445"/>
      <c r="O14" s="978"/>
      <c r="P14" s="446"/>
      <c r="Q14" s="446"/>
      <c r="R14" s="446"/>
      <c r="S14" s="446"/>
      <c r="T14" s="446"/>
      <c r="U14" s="446"/>
      <c r="V14" s="446"/>
      <c r="W14" s="447"/>
      <c r="X14" s="447"/>
      <c r="Y14" s="447"/>
      <c r="Z14" s="447"/>
      <c r="AA14" s="447"/>
    </row>
    <row r="15" spans="1:27" ht="15.75" x14ac:dyDescent="0.2">
      <c r="A15" s="974" t="s">
        <v>981</v>
      </c>
      <c r="B15" s="975">
        <v>48.7226</v>
      </c>
      <c r="C15" s="976">
        <v>1290.17</v>
      </c>
      <c r="D15" s="976">
        <v>95.47</v>
      </c>
      <c r="E15" s="976">
        <v>2.4</v>
      </c>
      <c r="F15" s="976">
        <v>309.64</v>
      </c>
      <c r="G15" s="976">
        <v>405.11</v>
      </c>
      <c r="H15" s="977">
        <v>3.14</v>
      </c>
      <c r="I15" s="446">
        <f>'[12]Actuals apprd'!F40</f>
        <v>577.92513024152004</v>
      </c>
      <c r="J15" s="446">
        <f>'[12]Actuals apprd'!G40</f>
        <v>41.4268961</v>
      </c>
      <c r="K15" s="446">
        <f t="shared" ref="K15:K49" si="11">L15/I15*10</f>
        <v>2.35799843905472</v>
      </c>
      <c r="L15" s="446">
        <f>'[12]Actuals apprd'!H40</f>
        <v>136.27465549999999</v>
      </c>
      <c r="M15" s="446">
        <f t="shared" ref="M15:M32" si="12">J15+L15</f>
        <v>177.70155159999999</v>
      </c>
      <c r="N15" s="446">
        <f t="shared" ref="N15:N34" si="13">M15/I15*10</f>
        <v>3.0748195968868308</v>
      </c>
      <c r="O15" s="978">
        <f>C15-(C15*0.97%)</f>
        <v>1277.6553510000001</v>
      </c>
      <c r="P15" s="446">
        <f t="shared" ref="P15:P32" si="14">O15-I15</f>
        <v>699.73022075848007</v>
      </c>
      <c r="Q15" s="446">
        <f>J15</f>
        <v>41.4268961</v>
      </c>
      <c r="R15" s="446"/>
      <c r="S15" s="446">
        <f>P15*K15/10</f>
        <v>164.99627683079106</v>
      </c>
      <c r="T15" s="446">
        <f>Q15+S15</f>
        <v>206.42317293079105</v>
      </c>
      <c r="U15" s="446">
        <f t="shared" ref="U15:U34" si="15">T15/P15*10</f>
        <v>2.9500394124329294</v>
      </c>
      <c r="V15" s="446">
        <f t="shared" si="7"/>
        <v>1277.6553510000001</v>
      </c>
      <c r="W15" s="447">
        <f t="shared" si="7"/>
        <v>82.853792200000001</v>
      </c>
      <c r="X15" s="447">
        <f t="shared" ref="X15:X36" si="16">Y15/V15*10</f>
        <v>2.35799843905472</v>
      </c>
      <c r="Y15" s="447">
        <f t="shared" ref="Y15:Y27" si="17">L15+S15</f>
        <v>301.27093233079108</v>
      </c>
      <c r="Z15" s="447">
        <f t="shared" si="8"/>
        <v>384.12472453079107</v>
      </c>
      <c r="AA15" s="447">
        <f t="shared" si="9"/>
        <v>3.0064815541228929</v>
      </c>
    </row>
    <row r="16" spans="1:27" ht="15.75" x14ac:dyDescent="0.2">
      <c r="A16" s="974" t="s">
        <v>982</v>
      </c>
      <c r="B16" s="975">
        <v>48.7226</v>
      </c>
      <c r="C16" s="976">
        <v>315.72000000000003</v>
      </c>
      <c r="D16" s="976">
        <v>24.94</v>
      </c>
      <c r="E16" s="976">
        <v>2.4</v>
      </c>
      <c r="F16" s="976">
        <v>75.77</v>
      </c>
      <c r="G16" s="976">
        <v>100.72</v>
      </c>
      <c r="H16" s="977">
        <v>3.19</v>
      </c>
      <c r="I16" s="446">
        <f>'[12]Actuals apprd'!F41</f>
        <v>159.922724833236</v>
      </c>
      <c r="J16" s="446">
        <f>'[12]Actuals apprd'!G41</f>
        <v>12.787189700000001</v>
      </c>
      <c r="K16" s="446">
        <f t="shared" si="11"/>
        <v>2.4350689647520816</v>
      </c>
      <c r="L16" s="446">
        <f>'[12]Actuals apprd'!H41</f>
        <v>38.9422864</v>
      </c>
      <c r="M16" s="446">
        <f t="shared" si="12"/>
        <v>51.729476099999999</v>
      </c>
      <c r="N16" s="446">
        <f t="shared" si="13"/>
        <v>3.2346544966603337</v>
      </c>
      <c r="O16" s="978">
        <f t="shared" ref="O16:O25" si="18">C16-(C16*0.97%)</f>
        <v>312.65751600000004</v>
      </c>
      <c r="P16" s="446">
        <f t="shared" si="14"/>
        <v>152.73479116676404</v>
      </c>
      <c r="Q16" s="446">
        <f t="shared" ref="Q16:Q26" si="19">J16</f>
        <v>12.787189700000001</v>
      </c>
      <c r="R16" s="446"/>
      <c r="S16" s="446">
        <f t="shared" ref="S16:S26" si="20">P16*K16/10</f>
        <v>37.19197498080775</v>
      </c>
      <c r="T16" s="446">
        <f t="shared" ref="T16:T26" si="21">Q16+S16</f>
        <v>49.979164680807749</v>
      </c>
      <c r="U16" s="446">
        <f t="shared" si="15"/>
        <v>3.2722842188743897</v>
      </c>
      <c r="V16" s="446">
        <f t="shared" si="7"/>
        <v>312.65751600000004</v>
      </c>
      <c r="W16" s="447">
        <f t="shared" si="7"/>
        <v>25.574379400000002</v>
      </c>
      <c r="X16" s="447">
        <f t="shared" si="16"/>
        <v>2.4350689647520816</v>
      </c>
      <c r="Y16" s="447">
        <f t="shared" si="17"/>
        <v>76.134261380807743</v>
      </c>
      <c r="Z16" s="447">
        <f t="shared" si="8"/>
        <v>101.70864078080774</v>
      </c>
      <c r="AA16" s="447">
        <f t="shared" si="9"/>
        <v>3.2530368078791918</v>
      </c>
    </row>
    <row r="17" spans="1:27" ht="15.75" x14ac:dyDescent="0.2">
      <c r="A17" s="974" t="s">
        <v>983</v>
      </c>
      <c r="B17" s="975">
        <v>48.7226</v>
      </c>
      <c r="C17" s="976">
        <v>1197.1099999999999</v>
      </c>
      <c r="D17" s="976">
        <v>88.59</v>
      </c>
      <c r="E17" s="976">
        <v>1.52</v>
      </c>
      <c r="F17" s="976">
        <v>181.96</v>
      </c>
      <c r="G17" s="976">
        <v>270.55</v>
      </c>
      <c r="H17" s="977">
        <v>2.2599999999999998</v>
      </c>
      <c r="I17" s="446">
        <f>'[12]Actuals apprd'!F42</f>
        <v>517.32030892260195</v>
      </c>
      <c r="J17" s="446">
        <f>'[12]Actuals apprd'!G42</f>
        <v>39.694378999999998</v>
      </c>
      <c r="K17" s="446">
        <f t="shared" si="11"/>
        <v>1.7144470276976789</v>
      </c>
      <c r="L17" s="446">
        <f>'[12]Actuals apprd'!H42</f>
        <v>88.691826599999999</v>
      </c>
      <c r="M17" s="446">
        <f t="shared" si="12"/>
        <v>128.38620559999998</v>
      </c>
      <c r="N17" s="446">
        <f t="shared" si="13"/>
        <v>2.4817545993387298</v>
      </c>
      <c r="O17" s="978">
        <f t="shared" si="18"/>
        <v>1185.4980329999999</v>
      </c>
      <c r="P17" s="446">
        <f t="shared" si="14"/>
        <v>668.1777240773979</v>
      </c>
      <c r="Q17" s="446">
        <f t="shared" si="19"/>
        <v>39.694378999999998</v>
      </c>
      <c r="R17" s="446"/>
      <c r="S17" s="446">
        <f t="shared" si="20"/>
        <v>114.55553130182946</v>
      </c>
      <c r="T17" s="446">
        <f t="shared" si="21"/>
        <v>154.24991030182946</v>
      </c>
      <c r="U17" s="446">
        <f t="shared" si="15"/>
        <v>2.3085162037512346</v>
      </c>
      <c r="V17" s="446">
        <f t="shared" si="7"/>
        <v>1185.4980329999999</v>
      </c>
      <c r="W17" s="447">
        <f t="shared" si="7"/>
        <v>79.388757999999996</v>
      </c>
      <c r="X17" s="447">
        <f t="shared" si="16"/>
        <v>1.7144470276976786</v>
      </c>
      <c r="Y17" s="447">
        <f t="shared" si="17"/>
        <v>203.24735790182945</v>
      </c>
      <c r="Z17" s="447">
        <f t="shared" si="8"/>
        <v>282.63611590182944</v>
      </c>
      <c r="AA17" s="447">
        <f t="shared" si="9"/>
        <v>2.384112904739248</v>
      </c>
    </row>
    <row r="18" spans="1:27" ht="15.75" x14ac:dyDescent="0.2">
      <c r="A18" s="974" t="s">
        <v>984</v>
      </c>
      <c r="B18" s="975">
        <v>48.7226</v>
      </c>
      <c r="C18" s="976">
        <v>557.87</v>
      </c>
      <c r="D18" s="976">
        <v>92.05</v>
      </c>
      <c r="E18" s="976">
        <v>2.82</v>
      </c>
      <c r="F18" s="976">
        <v>157.32</v>
      </c>
      <c r="G18" s="976">
        <v>249.37</v>
      </c>
      <c r="H18" s="977">
        <v>4.47</v>
      </c>
      <c r="I18" s="446">
        <f>'[12]Actuals apprd'!F43</f>
        <v>194.14585023048997</v>
      </c>
      <c r="J18" s="446">
        <f>'[12]Actuals apprd'!G43</f>
        <v>39.2600038</v>
      </c>
      <c r="K18" s="446">
        <f t="shared" si="11"/>
        <v>2.8952864165402739</v>
      </c>
      <c r="L18" s="446">
        <f>'[12]Actuals apprd'!H43</f>
        <v>56.2107843</v>
      </c>
      <c r="M18" s="446">
        <f t="shared" si="12"/>
        <v>95.470788099999993</v>
      </c>
      <c r="N18" s="446">
        <f t="shared" si="13"/>
        <v>4.9174776585055548</v>
      </c>
      <c r="O18" s="978">
        <f t="shared" si="18"/>
        <v>552.45866100000001</v>
      </c>
      <c r="P18" s="446">
        <f t="shared" si="14"/>
        <v>358.31281076951007</v>
      </c>
      <c r="Q18" s="446">
        <f t="shared" si="19"/>
        <v>39.2600038</v>
      </c>
      <c r="R18" s="446"/>
      <c r="S18" s="446">
        <f t="shared" si="20"/>
        <v>103.74182138933281</v>
      </c>
      <c r="T18" s="446">
        <f t="shared" si="21"/>
        <v>143.00182518933281</v>
      </c>
      <c r="U18" s="446">
        <f t="shared" si="15"/>
        <v>3.9909771822621436</v>
      </c>
      <c r="V18" s="446">
        <f t="shared" si="7"/>
        <v>552.45866100000001</v>
      </c>
      <c r="W18" s="447">
        <f t="shared" si="7"/>
        <v>78.5200076</v>
      </c>
      <c r="X18" s="447">
        <f t="shared" si="16"/>
        <v>2.8952864165402743</v>
      </c>
      <c r="Y18" s="447">
        <f t="shared" si="17"/>
        <v>159.95260568933281</v>
      </c>
      <c r="Z18" s="447">
        <f t="shared" si="8"/>
        <v>238.4726132893328</v>
      </c>
      <c r="AA18" s="447">
        <f t="shared" si="9"/>
        <v>4.3165693675192971</v>
      </c>
    </row>
    <row r="19" spans="1:27" ht="31.5" x14ac:dyDescent="0.2">
      <c r="A19" s="974" t="s">
        <v>985</v>
      </c>
      <c r="B19" s="975">
        <v>48.7226</v>
      </c>
      <c r="C19" s="976">
        <v>339.11</v>
      </c>
      <c r="D19" s="976">
        <v>63.34</v>
      </c>
      <c r="E19" s="976">
        <v>3</v>
      </c>
      <c r="F19" s="976">
        <v>101.73</v>
      </c>
      <c r="G19" s="976">
        <v>165.07</v>
      </c>
      <c r="H19" s="977">
        <v>4.87</v>
      </c>
      <c r="I19" s="446">
        <f>'[12]Actuals apprd'!$F$54</f>
        <v>145.046496091352</v>
      </c>
      <c r="J19" s="446">
        <f>'[12]Actuals apprd'!$E$54</f>
        <v>39.275287859999999</v>
      </c>
      <c r="K19" s="446">
        <f t="shared" si="11"/>
        <v>3.4926391995084143</v>
      </c>
      <c r="L19" s="446">
        <f>'[12]Actuals apprd'!$H$54</f>
        <v>50.6595078</v>
      </c>
      <c r="M19" s="446">
        <f t="shared" si="12"/>
        <v>89.934795659999992</v>
      </c>
      <c r="N19" s="446">
        <f t="shared" si="13"/>
        <v>6.2004114600161042</v>
      </c>
      <c r="O19" s="978">
        <f t="shared" si="18"/>
        <v>335.82063299999999</v>
      </c>
      <c r="P19" s="446">
        <f t="shared" si="14"/>
        <v>190.77413690864799</v>
      </c>
      <c r="Q19" s="446">
        <f t="shared" si="19"/>
        <v>39.275287859999999</v>
      </c>
      <c r="R19" s="446"/>
      <c r="S19" s="446">
        <f t="shared" si="20"/>
        <v>66.630522881952885</v>
      </c>
      <c r="T19" s="446">
        <f t="shared" si="21"/>
        <v>105.90581074195288</v>
      </c>
      <c r="U19" s="446">
        <f t="shared" si="15"/>
        <v>5.5513715044438001</v>
      </c>
      <c r="V19" s="446">
        <f t="shared" si="7"/>
        <v>335.82063299999999</v>
      </c>
      <c r="W19" s="447">
        <f t="shared" si="7"/>
        <v>78.550575719999998</v>
      </c>
      <c r="X19" s="447">
        <f t="shared" si="16"/>
        <v>3.4926391995084138</v>
      </c>
      <c r="Y19" s="447">
        <f t="shared" si="17"/>
        <v>117.29003068195289</v>
      </c>
      <c r="Z19" s="447">
        <f t="shared" si="8"/>
        <v>195.84060640195287</v>
      </c>
      <c r="AA19" s="447">
        <f t="shared" si="9"/>
        <v>5.831702616138922</v>
      </c>
    </row>
    <row r="20" spans="1:27" ht="31.5" x14ac:dyDescent="0.2">
      <c r="A20" s="988" t="s">
        <v>986</v>
      </c>
      <c r="B20" s="975">
        <v>48.7226</v>
      </c>
      <c r="C20" s="976">
        <v>334.51</v>
      </c>
      <c r="D20" s="976">
        <v>40.14</v>
      </c>
      <c r="E20" s="976">
        <v>2.9</v>
      </c>
      <c r="F20" s="976">
        <v>97.01</v>
      </c>
      <c r="G20" s="976">
        <v>137.15</v>
      </c>
      <c r="H20" s="977">
        <v>4.0999999999999996</v>
      </c>
      <c r="I20" s="446">
        <f>'[12]Actuals apprd'!F44</f>
        <v>156.647690679698</v>
      </c>
      <c r="J20" s="446">
        <f>'[12]Actuals apprd'!G44</f>
        <v>16.392015000000001</v>
      </c>
      <c r="K20" s="446">
        <f t="shared" si="11"/>
        <v>2.5937966160688464</v>
      </c>
      <c r="L20" s="446">
        <f>'[12]Actuals apprd'!H44</f>
        <v>40.631225000000001</v>
      </c>
      <c r="M20" s="446">
        <f t="shared" si="12"/>
        <v>57.023240000000001</v>
      </c>
      <c r="N20" s="446">
        <f t="shared" si="13"/>
        <v>3.6402221923971445</v>
      </c>
      <c r="O20" s="978">
        <f t="shared" si="18"/>
        <v>331.26525299999997</v>
      </c>
      <c r="P20" s="446">
        <f t="shared" si="14"/>
        <v>174.61756232030197</v>
      </c>
      <c r="Q20" s="446">
        <f t="shared" si="19"/>
        <v>16.392015000000001</v>
      </c>
      <c r="R20" s="446"/>
      <c r="S20" s="446">
        <f t="shared" si="20"/>
        <v>45.292244225259012</v>
      </c>
      <c r="T20" s="446">
        <f t="shared" si="21"/>
        <v>61.684259225259012</v>
      </c>
      <c r="U20" s="446">
        <f t="shared" si="15"/>
        <v>3.5325346663648434</v>
      </c>
      <c r="V20" s="446">
        <f t="shared" si="7"/>
        <v>331.26525299999997</v>
      </c>
      <c r="W20" s="447">
        <f t="shared" si="7"/>
        <v>32.784030000000001</v>
      </c>
      <c r="X20" s="447">
        <f t="shared" si="16"/>
        <v>2.5937966160688464</v>
      </c>
      <c r="Y20" s="447">
        <f t="shared" si="17"/>
        <v>85.923469225259012</v>
      </c>
      <c r="Z20" s="447">
        <f t="shared" si="8"/>
        <v>118.70749922525901</v>
      </c>
      <c r="AA20" s="447">
        <f t="shared" si="9"/>
        <v>3.5834576113921317</v>
      </c>
    </row>
    <row r="21" spans="1:27" ht="31.5" x14ac:dyDescent="0.2">
      <c r="A21" s="974" t="s">
        <v>987</v>
      </c>
      <c r="B21" s="975">
        <v>48.7226</v>
      </c>
      <c r="C21" s="976">
        <v>467.15</v>
      </c>
      <c r="D21" s="976">
        <v>56.52</v>
      </c>
      <c r="E21" s="976">
        <v>2.9</v>
      </c>
      <c r="F21" s="976">
        <v>135.47</v>
      </c>
      <c r="G21" s="976">
        <v>192</v>
      </c>
      <c r="H21" s="977">
        <v>4.1100000000000003</v>
      </c>
      <c r="I21" s="446">
        <f>'[12]Actuals apprd'!F45</f>
        <v>217.494423488656</v>
      </c>
      <c r="J21" s="446">
        <f>'[12]Actuals apprd'!G45</f>
        <v>22.904916799999999</v>
      </c>
      <c r="K21" s="446">
        <f t="shared" si="11"/>
        <v>2.5924971958161924</v>
      </c>
      <c r="L21" s="446">
        <f>'[12]Actuals apprd'!H45</f>
        <v>56.385368300000003</v>
      </c>
      <c r="M21" s="446">
        <f t="shared" si="12"/>
        <v>79.290285100000006</v>
      </c>
      <c r="N21" s="446">
        <f t="shared" si="13"/>
        <v>3.6456238200578781</v>
      </c>
      <c r="O21" s="978">
        <f t="shared" si="18"/>
        <v>462.61864499999996</v>
      </c>
      <c r="P21" s="446">
        <f t="shared" si="14"/>
        <v>245.12422151134396</v>
      </c>
      <c r="Q21" s="446">
        <f t="shared" si="19"/>
        <v>22.904916799999999</v>
      </c>
      <c r="R21" s="446"/>
      <c r="S21" s="446">
        <f t="shared" si="20"/>
        <v>63.548385689478643</v>
      </c>
      <c r="T21" s="446">
        <f t="shared" si="21"/>
        <v>86.453302489478645</v>
      </c>
      <c r="U21" s="446">
        <f t="shared" si="15"/>
        <v>3.5269179829084218</v>
      </c>
      <c r="V21" s="446">
        <f t="shared" si="7"/>
        <v>462.61864499999996</v>
      </c>
      <c r="W21" s="447">
        <f t="shared" si="7"/>
        <v>45.809833599999997</v>
      </c>
      <c r="X21" s="447">
        <f t="shared" si="16"/>
        <v>2.5924971958161924</v>
      </c>
      <c r="Y21" s="447">
        <f t="shared" si="17"/>
        <v>119.93375398947865</v>
      </c>
      <c r="Z21" s="447">
        <f t="shared" si="8"/>
        <v>165.74358758947864</v>
      </c>
      <c r="AA21" s="447">
        <f t="shared" si="9"/>
        <v>3.5827260613216021</v>
      </c>
    </row>
    <row r="22" spans="1:27" ht="31.5" x14ac:dyDescent="0.2">
      <c r="A22" s="988" t="s">
        <v>988</v>
      </c>
      <c r="B22" s="975">
        <v>48.7226</v>
      </c>
      <c r="C22" s="976">
        <v>330.66</v>
      </c>
      <c r="D22" s="976">
        <v>46.95</v>
      </c>
      <c r="E22" s="976">
        <v>2.7</v>
      </c>
      <c r="F22" s="976">
        <v>89.28</v>
      </c>
      <c r="G22" s="976">
        <v>136.22999999999999</v>
      </c>
      <c r="H22" s="977">
        <v>4.12</v>
      </c>
      <c r="I22" s="446">
        <f>'[12]Actuals apprd'!F46</f>
        <v>98.404026810849999</v>
      </c>
      <c r="J22" s="446">
        <f>'[12]Actuals apprd'!G46</f>
        <v>13.763811</v>
      </c>
      <c r="K22" s="446">
        <f t="shared" si="11"/>
        <v>2.4703216004286221</v>
      </c>
      <c r="L22" s="446">
        <f>'[12]Actuals apprd'!H46</f>
        <v>24.308959300000001</v>
      </c>
      <c r="M22" s="446">
        <f t="shared" si="12"/>
        <v>38.072770300000002</v>
      </c>
      <c r="N22" s="446">
        <f t="shared" si="13"/>
        <v>3.8690256419264859</v>
      </c>
      <c r="O22" s="978">
        <f t="shared" si="18"/>
        <v>327.45259800000002</v>
      </c>
      <c r="P22" s="446">
        <f t="shared" si="14"/>
        <v>229.04857118915004</v>
      </c>
      <c r="Q22" s="446">
        <f t="shared" si="19"/>
        <v>13.763811</v>
      </c>
      <c r="R22" s="446"/>
      <c r="S22" s="446">
        <f t="shared" si="20"/>
        <v>56.582363295587029</v>
      </c>
      <c r="T22" s="446">
        <f t="shared" si="21"/>
        <v>70.346174295587033</v>
      </c>
      <c r="U22" s="446">
        <f t="shared" si="15"/>
        <v>3.0712339278246197</v>
      </c>
      <c r="V22" s="446">
        <f t="shared" si="7"/>
        <v>327.45259800000002</v>
      </c>
      <c r="W22" s="447">
        <f t="shared" si="7"/>
        <v>27.527622000000001</v>
      </c>
      <c r="X22" s="447">
        <f t="shared" si="16"/>
        <v>2.4703216004286221</v>
      </c>
      <c r="Y22" s="447">
        <f t="shared" si="17"/>
        <v>80.891322595587027</v>
      </c>
      <c r="Z22" s="447">
        <f t="shared" si="8"/>
        <v>108.41894459558702</v>
      </c>
      <c r="AA22" s="447">
        <f t="shared" si="9"/>
        <v>3.3109813529586658</v>
      </c>
    </row>
    <row r="23" spans="1:27" ht="15.75" x14ac:dyDescent="0.2">
      <c r="A23" s="974" t="s">
        <v>989</v>
      </c>
      <c r="B23" s="975">
        <v>48.7226</v>
      </c>
      <c r="C23" s="976">
        <v>248.49</v>
      </c>
      <c r="D23" s="976">
        <v>52.93</v>
      </c>
      <c r="E23" s="976">
        <v>2.7</v>
      </c>
      <c r="F23" s="976">
        <v>67.09</v>
      </c>
      <c r="G23" s="976">
        <v>120.02</v>
      </c>
      <c r="H23" s="977">
        <v>4.83</v>
      </c>
      <c r="I23" s="446">
        <f>'[12]Actuals apprd'!F47</f>
        <v>63.919122791403993</v>
      </c>
      <c r="J23" s="446">
        <f>'[12]Actuals apprd'!G47</f>
        <v>17.429225500000001</v>
      </c>
      <c r="K23" s="446">
        <f t="shared" si="11"/>
        <v>2.5510420806639851</v>
      </c>
      <c r="L23" s="446">
        <f>'[12]Actuals apprd'!H47</f>
        <v>16.306037199999999</v>
      </c>
      <c r="M23" s="446">
        <f t="shared" si="12"/>
        <v>33.7352627</v>
      </c>
      <c r="N23" s="446">
        <f t="shared" si="13"/>
        <v>5.2778043919802986</v>
      </c>
      <c r="O23" s="978">
        <f t="shared" si="18"/>
        <v>246.07964700000002</v>
      </c>
      <c r="P23" s="446">
        <f t="shared" si="14"/>
        <v>182.16052420859603</v>
      </c>
      <c r="Q23" s="446">
        <f t="shared" si="19"/>
        <v>17.429225500000001</v>
      </c>
      <c r="R23" s="446"/>
      <c r="S23" s="446">
        <f t="shared" si="20"/>
        <v>46.469916269193902</v>
      </c>
      <c r="T23" s="446">
        <f t="shared" si="21"/>
        <v>63.899141769193903</v>
      </c>
      <c r="U23" s="446">
        <f t="shared" si="15"/>
        <v>3.5078479295558895</v>
      </c>
      <c r="V23" s="446">
        <f t="shared" si="7"/>
        <v>246.07964700000002</v>
      </c>
      <c r="W23" s="447">
        <f t="shared" si="7"/>
        <v>34.858451000000002</v>
      </c>
      <c r="X23" s="447">
        <f t="shared" si="16"/>
        <v>2.5510420806639851</v>
      </c>
      <c r="Y23" s="447">
        <f t="shared" si="17"/>
        <v>62.775953469193901</v>
      </c>
      <c r="Z23" s="447">
        <f t="shared" si="8"/>
        <v>97.634404469193896</v>
      </c>
      <c r="AA23" s="447">
        <f t="shared" si="9"/>
        <v>3.9675936494330992</v>
      </c>
    </row>
    <row r="24" spans="1:27" ht="31.5" x14ac:dyDescent="0.2">
      <c r="A24" s="988" t="s">
        <v>990</v>
      </c>
      <c r="B24" s="975">
        <v>48.7226</v>
      </c>
      <c r="C24" s="976">
        <v>503.79</v>
      </c>
      <c r="D24" s="976">
        <v>94.21</v>
      </c>
      <c r="E24" s="976">
        <v>3.26</v>
      </c>
      <c r="F24" s="976">
        <v>164.24</v>
      </c>
      <c r="G24" s="976">
        <v>258.45</v>
      </c>
      <c r="H24" s="977">
        <v>5.13</v>
      </c>
      <c r="I24" s="446">
        <f>'[12]Actuals apprd'!$F$52</f>
        <v>221.89816337010598</v>
      </c>
      <c r="J24" s="446">
        <f>'[12]Actuals apprd'!$G$52</f>
        <v>50.686374299999997</v>
      </c>
      <c r="K24" s="446">
        <f t="shared" si="11"/>
        <v>3.4374123220109447</v>
      </c>
      <c r="L24" s="446">
        <f>'[12]Actuals apprd'!$H$52</f>
        <v>76.275548099999995</v>
      </c>
      <c r="M24" s="446">
        <f t="shared" si="12"/>
        <v>126.96192239999999</v>
      </c>
      <c r="N24" s="446">
        <f t="shared" si="13"/>
        <v>5.7216301600585595</v>
      </c>
      <c r="O24" s="978">
        <f t="shared" si="18"/>
        <v>498.90323700000005</v>
      </c>
      <c r="P24" s="446">
        <f t="shared" si="14"/>
        <v>277.00507362989407</v>
      </c>
      <c r="Q24" s="446">
        <f t="shared" si="19"/>
        <v>50.686374299999997</v>
      </c>
      <c r="R24" s="446"/>
      <c r="S24" s="446">
        <f t="shared" si="20"/>
        <v>95.218065335494686</v>
      </c>
      <c r="T24" s="446">
        <f t="shared" si="21"/>
        <v>145.90443963549467</v>
      </c>
      <c r="U24" s="446">
        <f t="shared" si="15"/>
        <v>5.2672118139769992</v>
      </c>
      <c r="V24" s="446">
        <f t="shared" si="7"/>
        <v>498.90323700000005</v>
      </c>
      <c r="W24" s="447">
        <f t="shared" si="7"/>
        <v>101.37274859999999</v>
      </c>
      <c r="X24" s="447">
        <f t="shared" si="16"/>
        <v>3.4374123220109447</v>
      </c>
      <c r="Y24" s="447">
        <f t="shared" si="17"/>
        <v>171.49361343549469</v>
      </c>
      <c r="Z24" s="447">
        <f t="shared" si="8"/>
        <v>272.86636203549472</v>
      </c>
      <c r="AA24" s="447">
        <f t="shared" si="9"/>
        <v>5.4693243458649823</v>
      </c>
    </row>
    <row r="25" spans="1:27" ht="15.75" x14ac:dyDescent="0.2">
      <c r="A25" s="974" t="s">
        <v>991</v>
      </c>
      <c r="B25" s="975">
        <v>48.7226</v>
      </c>
      <c r="C25" s="976">
        <v>86.59</v>
      </c>
      <c r="D25" s="976">
        <v>0</v>
      </c>
      <c r="E25" s="976">
        <v>2.23</v>
      </c>
      <c r="F25" s="976">
        <v>19.309999999999999</v>
      </c>
      <c r="G25" s="976">
        <v>19.309999999999999</v>
      </c>
      <c r="H25" s="977">
        <v>2.23</v>
      </c>
      <c r="I25" s="446">
        <f>'[12]Actuals apprd'!$F$49</f>
        <v>31.113178536740001</v>
      </c>
      <c r="J25" s="445"/>
      <c r="K25" s="446">
        <f t="shared" si="11"/>
        <v>2.8681223500603488</v>
      </c>
      <c r="L25" s="446">
        <f>'[12]Actuals apprd'!$K$49</f>
        <v>8.9236402742641925</v>
      </c>
      <c r="M25" s="446">
        <f t="shared" si="12"/>
        <v>8.9236402742641925</v>
      </c>
      <c r="N25" s="446">
        <f t="shared" si="13"/>
        <v>2.8681223500603488</v>
      </c>
      <c r="O25" s="978">
        <f t="shared" si="18"/>
        <v>85.750077000000005</v>
      </c>
      <c r="P25" s="446">
        <f t="shared" si="14"/>
        <v>54.636898463260003</v>
      </c>
      <c r="Q25" s="446">
        <f t="shared" si="19"/>
        <v>0</v>
      </c>
      <c r="R25" s="446"/>
      <c r="S25" s="446">
        <f t="shared" si="20"/>
        <v>15.670530962045394</v>
      </c>
      <c r="T25" s="446">
        <f t="shared" si="21"/>
        <v>15.670530962045394</v>
      </c>
      <c r="U25" s="446">
        <f t="shared" si="15"/>
        <v>2.8681223500603488</v>
      </c>
      <c r="V25" s="446">
        <f t="shared" si="7"/>
        <v>85.750077000000005</v>
      </c>
      <c r="W25" s="447">
        <f t="shared" si="7"/>
        <v>0</v>
      </c>
      <c r="X25" s="447">
        <f t="shared" si="16"/>
        <v>2.8681223500603488</v>
      </c>
      <c r="Y25" s="447">
        <f t="shared" si="17"/>
        <v>24.594171236309585</v>
      </c>
      <c r="Z25" s="447">
        <f t="shared" si="8"/>
        <v>24.594171236309585</v>
      </c>
      <c r="AA25" s="447">
        <f t="shared" si="9"/>
        <v>2.8681223500603488</v>
      </c>
    </row>
    <row r="26" spans="1:27" ht="15.75" x14ac:dyDescent="0.2">
      <c r="A26" s="974" t="s">
        <v>992</v>
      </c>
      <c r="B26" s="975">
        <v>48.7226</v>
      </c>
      <c r="C26" s="976">
        <v>425.84</v>
      </c>
      <c r="D26" s="976">
        <v>0</v>
      </c>
      <c r="E26" s="976">
        <v>3.23</v>
      </c>
      <c r="F26" s="976">
        <v>137.54</v>
      </c>
      <c r="G26" s="976">
        <v>137.54</v>
      </c>
      <c r="H26" s="977">
        <v>3.23</v>
      </c>
      <c r="I26" s="446">
        <f>'[12]Actuals apprd'!$F$50</f>
        <v>538.24094065265001</v>
      </c>
      <c r="J26" s="445"/>
      <c r="K26" s="446">
        <f t="shared" si="11"/>
        <v>3.8005108086796531</v>
      </c>
      <c r="L26" s="446">
        <f>'[12]Actuals apprd'!$H$50</f>
        <v>204.55905126242999</v>
      </c>
      <c r="M26" s="446">
        <f t="shared" si="12"/>
        <v>204.55905126242999</v>
      </c>
      <c r="N26" s="446">
        <f t="shared" si="13"/>
        <v>3.8005108086796531</v>
      </c>
      <c r="O26" s="978">
        <f>872.63-(872.63*0.97%)</f>
        <v>864.16548899999998</v>
      </c>
      <c r="P26" s="446">
        <f t="shared" si="14"/>
        <v>325.92454834734997</v>
      </c>
      <c r="Q26" s="446">
        <f t="shared" si="19"/>
        <v>0</v>
      </c>
      <c r="R26" s="446"/>
      <c r="S26" s="446">
        <f t="shared" si="20"/>
        <v>123.86797688081376</v>
      </c>
      <c r="T26" s="446">
        <f t="shared" si="21"/>
        <v>123.86797688081376</v>
      </c>
      <c r="U26" s="446">
        <f t="shared" si="15"/>
        <v>3.8005108086796522</v>
      </c>
      <c r="V26" s="446">
        <f t="shared" si="7"/>
        <v>864.16548899999998</v>
      </c>
      <c r="W26" s="447">
        <f t="shared" si="7"/>
        <v>0</v>
      </c>
      <c r="X26" s="447">
        <f t="shared" si="16"/>
        <v>3.8005108086796531</v>
      </c>
      <c r="Y26" s="447">
        <f t="shared" si="17"/>
        <v>328.42702814324377</v>
      </c>
      <c r="Z26" s="447">
        <f t="shared" si="8"/>
        <v>328.42702814324377</v>
      </c>
      <c r="AA26" s="447">
        <f t="shared" si="9"/>
        <v>3.8005108086796531</v>
      </c>
    </row>
    <row r="27" spans="1:27" ht="15.75" x14ac:dyDescent="0.2">
      <c r="A27" s="974" t="s">
        <v>993</v>
      </c>
      <c r="B27" s="975">
        <v>48.7226</v>
      </c>
      <c r="C27" s="976">
        <v>446.79</v>
      </c>
      <c r="D27" s="976">
        <v>0</v>
      </c>
      <c r="E27" s="976">
        <v>3.23</v>
      </c>
      <c r="F27" s="976">
        <v>144.31</v>
      </c>
      <c r="G27" s="976">
        <v>144.31</v>
      </c>
      <c r="H27" s="977">
        <v>3.23</v>
      </c>
      <c r="I27" s="445"/>
      <c r="J27" s="445"/>
      <c r="K27" s="446"/>
      <c r="L27" s="445"/>
      <c r="M27" s="446">
        <f t="shared" si="12"/>
        <v>0</v>
      </c>
      <c r="N27" s="446"/>
      <c r="O27" s="978"/>
      <c r="P27" s="446"/>
      <c r="Q27" s="446"/>
      <c r="R27" s="446"/>
      <c r="S27" s="446"/>
      <c r="T27" s="446"/>
      <c r="U27" s="446"/>
      <c r="V27" s="446">
        <f t="shared" si="7"/>
        <v>0</v>
      </c>
      <c r="W27" s="447">
        <f t="shared" si="7"/>
        <v>0</v>
      </c>
      <c r="X27" s="447"/>
      <c r="Y27" s="447">
        <f t="shared" si="17"/>
        <v>0</v>
      </c>
      <c r="Z27" s="447">
        <f t="shared" si="8"/>
        <v>0</v>
      </c>
      <c r="AA27" s="447"/>
    </row>
    <row r="28" spans="1:27" ht="31.5" x14ac:dyDescent="0.2">
      <c r="A28" s="974" t="s">
        <v>994</v>
      </c>
      <c r="B28" s="975">
        <v>48.7226</v>
      </c>
      <c r="C28" s="976">
        <v>437.53</v>
      </c>
      <c r="D28" s="976">
        <v>0</v>
      </c>
      <c r="E28" s="976">
        <v>4.22</v>
      </c>
      <c r="F28" s="976">
        <v>184.64</v>
      </c>
      <c r="G28" s="976">
        <v>184.64</v>
      </c>
      <c r="H28" s="977">
        <v>4.22</v>
      </c>
      <c r="I28" s="446">
        <f>'[12]Actuals apprd'!$F$58</f>
        <v>314.53111283600197</v>
      </c>
      <c r="J28" s="445"/>
      <c r="K28" s="446">
        <f t="shared" si="11"/>
        <v>4.6768394217534848</v>
      </c>
      <c r="L28" s="446">
        <f>'[12]Actuals apprd'!$K$58</f>
        <v>147.10115078794075</v>
      </c>
      <c r="M28" s="446">
        <f t="shared" si="12"/>
        <v>147.10115078794075</v>
      </c>
      <c r="N28" s="446">
        <f t="shared" si="13"/>
        <v>4.6768394217534848</v>
      </c>
      <c r="O28" s="978">
        <f>875.06-(875.06*0.97%)</f>
        <v>866.57191799999998</v>
      </c>
      <c r="P28" s="446">
        <f t="shared" si="14"/>
        <v>552.04080516399802</v>
      </c>
      <c r="Q28" s="446"/>
      <c r="R28" s="446"/>
      <c r="S28" s="446"/>
      <c r="T28" s="446">
        <f>P28*N28/10</f>
        <v>258.18062000075207</v>
      </c>
      <c r="U28" s="446">
        <f t="shared" si="15"/>
        <v>4.6768394217534848</v>
      </c>
      <c r="V28" s="446">
        <f t="shared" si="7"/>
        <v>866.57191799999998</v>
      </c>
      <c r="W28" s="447">
        <f t="shared" si="7"/>
        <v>0</v>
      </c>
      <c r="X28" s="447">
        <f t="shared" si="16"/>
        <v>4.6768394217534848</v>
      </c>
      <c r="Y28" s="447">
        <f>M28+T28</f>
        <v>405.28177078869282</v>
      </c>
      <c r="Z28" s="447">
        <f t="shared" si="8"/>
        <v>405.28177078869282</v>
      </c>
      <c r="AA28" s="447">
        <f t="shared" si="9"/>
        <v>4.6768394217534848</v>
      </c>
    </row>
    <row r="29" spans="1:27" ht="31.5" x14ac:dyDescent="0.2">
      <c r="A29" s="988" t="s">
        <v>995</v>
      </c>
      <c r="B29" s="975">
        <v>48.7226</v>
      </c>
      <c r="C29" s="976">
        <v>437.53</v>
      </c>
      <c r="D29" s="976">
        <v>0</v>
      </c>
      <c r="E29" s="976">
        <v>4.22</v>
      </c>
      <c r="F29" s="976">
        <v>184.64</v>
      </c>
      <c r="G29" s="976">
        <v>184.64</v>
      </c>
      <c r="H29" s="977">
        <v>4.22</v>
      </c>
      <c r="I29" s="445"/>
      <c r="J29" s="445"/>
      <c r="K29" s="446"/>
      <c r="L29" s="445"/>
      <c r="M29" s="446">
        <f t="shared" si="12"/>
        <v>0</v>
      </c>
      <c r="N29" s="446"/>
      <c r="O29" s="978"/>
      <c r="P29" s="446">
        <f t="shared" si="14"/>
        <v>0</v>
      </c>
      <c r="Q29" s="446"/>
      <c r="R29" s="446"/>
      <c r="S29" s="446"/>
      <c r="T29" s="446"/>
      <c r="U29" s="446"/>
      <c r="V29" s="446">
        <f t="shared" si="7"/>
        <v>0</v>
      </c>
      <c r="W29" s="447">
        <f t="shared" si="7"/>
        <v>0</v>
      </c>
      <c r="X29" s="447"/>
      <c r="Y29" s="447">
        <f>L29+S29</f>
        <v>0</v>
      </c>
      <c r="Z29" s="447">
        <f t="shared" si="8"/>
        <v>0</v>
      </c>
      <c r="AA29" s="447"/>
    </row>
    <row r="30" spans="1:27" ht="15.75" x14ac:dyDescent="0.2">
      <c r="A30" s="974" t="s">
        <v>996</v>
      </c>
      <c r="B30" s="975">
        <v>48.7226</v>
      </c>
      <c r="C30" s="976">
        <v>709.4</v>
      </c>
      <c r="D30" s="976">
        <v>99.32</v>
      </c>
      <c r="E30" s="976">
        <v>2.2200000000000002</v>
      </c>
      <c r="F30" s="976">
        <v>157.49</v>
      </c>
      <c r="G30" s="976">
        <v>256.8</v>
      </c>
      <c r="H30" s="977">
        <v>3.62</v>
      </c>
      <c r="I30" s="989">
        <f>'[12]Actuals apprd'!$F$62</f>
        <v>628.57473545572202</v>
      </c>
      <c r="J30" s="446">
        <f>'[12]Actuals apprd'!$G$62</f>
        <v>104.970311</v>
      </c>
      <c r="K30" s="446">
        <f t="shared" si="11"/>
        <v>2.2215222729045947</v>
      </c>
      <c r="L30" s="446">
        <f>'[12]Actuals apprd'!$H$62</f>
        <v>139.63927749999999</v>
      </c>
      <c r="M30" s="446">
        <f t="shared" si="12"/>
        <v>244.60958849999997</v>
      </c>
      <c r="N30" s="446">
        <f t="shared" si="13"/>
        <v>3.8914957077085823</v>
      </c>
      <c r="O30" s="978">
        <f>(C30+C31)-(1595.91*0.97%)</f>
        <v>1580.4296729999999</v>
      </c>
      <c r="P30" s="446">
        <f t="shared" si="14"/>
        <v>951.85493754427785</v>
      </c>
      <c r="Q30" s="446">
        <v>104.97</v>
      </c>
      <c r="R30" s="446"/>
      <c r="S30" s="446">
        <f>P30*K30/10</f>
        <v>211.45669443288253</v>
      </c>
      <c r="T30" s="446">
        <f>Q30+S30</f>
        <v>316.42669443288253</v>
      </c>
      <c r="U30" s="446">
        <f t="shared" si="15"/>
        <v>3.3243163632605857</v>
      </c>
      <c r="V30" s="446">
        <f t="shared" si="7"/>
        <v>1580.4296729999999</v>
      </c>
      <c r="W30" s="447">
        <f t="shared" si="7"/>
        <v>209.94031100000001</v>
      </c>
      <c r="X30" s="447">
        <f t="shared" si="16"/>
        <v>2.2215222729045951</v>
      </c>
      <c r="Y30" s="447">
        <f>L30+S30</f>
        <v>351.09597193288255</v>
      </c>
      <c r="Z30" s="447">
        <f t="shared" si="8"/>
        <v>561.03628293288261</v>
      </c>
      <c r="AA30" s="447">
        <f t="shared" si="9"/>
        <v>3.549897173645908</v>
      </c>
    </row>
    <row r="31" spans="1:27" ht="15.75" x14ac:dyDescent="0.2">
      <c r="A31" s="990" t="s">
        <v>997</v>
      </c>
      <c r="B31" s="975">
        <v>48.7226</v>
      </c>
      <c r="C31" s="976">
        <v>886.51</v>
      </c>
      <c r="D31" s="976">
        <v>143.61000000000001</v>
      </c>
      <c r="E31" s="976">
        <v>1.83</v>
      </c>
      <c r="F31" s="976">
        <v>162.22999999999999</v>
      </c>
      <c r="G31" s="976">
        <v>305.85000000000002</v>
      </c>
      <c r="H31" s="977">
        <v>3.45</v>
      </c>
      <c r="I31" s="991"/>
      <c r="J31" s="445"/>
      <c r="K31" s="446"/>
      <c r="L31" s="445"/>
      <c r="M31" s="446">
        <f t="shared" si="12"/>
        <v>0</v>
      </c>
      <c r="N31" s="446"/>
      <c r="O31" s="978"/>
      <c r="P31" s="446"/>
      <c r="Q31" s="446"/>
      <c r="R31" s="446"/>
      <c r="S31" s="446"/>
      <c r="T31" s="446"/>
      <c r="U31" s="446"/>
      <c r="V31" s="446">
        <f t="shared" si="7"/>
        <v>0</v>
      </c>
      <c r="W31" s="447">
        <f t="shared" si="7"/>
        <v>0</v>
      </c>
      <c r="X31" s="447"/>
      <c r="Y31" s="447">
        <f>L31+S31</f>
        <v>0</v>
      </c>
      <c r="Z31" s="447">
        <f t="shared" si="8"/>
        <v>0</v>
      </c>
      <c r="AA31" s="447"/>
    </row>
    <row r="32" spans="1:27" ht="15.75" x14ac:dyDescent="0.2">
      <c r="A32" s="974" t="s">
        <v>894</v>
      </c>
      <c r="B32" s="975">
        <v>61</v>
      </c>
      <c r="C32" s="976">
        <v>981.04</v>
      </c>
      <c r="D32" s="976">
        <v>187.38</v>
      </c>
      <c r="E32" s="976">
        <v>3.6</v>
      </c>
      <c r="F32" s="976">
        <v>353.17</v>
      </c>
      <c r="G32" s="976">
        <v>540.54999999999995</v>
      </c>
      <c r="H32" s="977">
        <v>5.51</v>
      </c>
      <c r="I32" s="446">
        <f>'[12]Actuals apprd'!$F$63</f>
        <v>179.19175990999997</v>
      </c>
      <c r="J32" s="446">
        <f>'[12]Actuals apprd'!$G$63</f>
        <v>248.05688810000001</v>
      </c>
      <c r="K32" s="446">
        <f t="shared" si="11"/>
        <v>2.9506254208650908</v>
      </c>
      <c r="L32" s="446">
        <f>'[12]Actuals apprd'!$H$63</f>
        <v>52.872776199999997</v>
      </c>
      <c r="M32" s="446">
        <f t="shared" si="12"/>
        <v>300.92966430000001</v>
      </c>
      <c r="N32" s="446">
        <f t="shared" si="13"/>
        <v>16.793722236510405</v>
      </c>
      <c r="O32" s="978">
        <f>C32-(C32*0.97%)</f>
        <v>971.523912</v>
      </c>
      <c r="P32" s="446">
        <f t="shared" si="14"/>
        <v>792.33215209000002</v>
      </c>
      <c r="Q32" s="446">
        <f>J32</f>
        <v>248.05688810000001</v>
      </c>
      <c r="R32" s="446"/>
      <c r="S32" s="446">
        <f>P32*K32/10</f>
        <v>233.78753897254995</v>
      </c>
      <c r="T32" s="446">
        <f>Q32+S32</f>
        <v>481.84442707254993</v>
      </c>
      <c r="U32" s="446">
        <f t="shared" si="15"/>
        <v>6.0813438631961239</v>
      </c>
      <c r="V32" s="446">
        <f t="shared" si="7"/>
        <v>971.523912</v>
      </c>
      <c r="W32" s="447">
        <f t="shared" si="7"/>
        <v>496.11377620000002</v>
      </c>
      <c r="X32" s="447">
        <f t="shared" si="16"/>
        <v>2.9506254208650908</v>
      </c>
      <c r="Y32" s="447">
        <f>L32+S32</f>
        <v>286.66031517254993</v>
      </c>
      <c r="Z32" s="447">
        <f t="shared" si="8"/>
        <v>782.77409137254995</v>
      </c>
      <c r="AA32" s="447">
        <f t="shared" si="9"/>
        <v>8.0571778183113825</v>
      </c>
    </row>
    <row r="33" spans="1:27" ht="15.75" x14ac:dyDescent="0.2">
      <c r="A33" s="974" t="s">
        <v>998</v>
      </c>
      <c r="B33" s="975"/>
      <c r="C33" s="976"/>
      <c r="D33" s="976"/>
      <c r="E33" s="976"/>
      <c r="F33" s="976"/>
      <c r="G33" s="976"/>
      <c r="H33" s="977"/>
      <c r="I33" s="446">
        <f>'[12]Actuals apprd'!$F$103</f>
        <v>-39.512526036248197</v>
      </c>
      <c r="J33" s="446"/>
      <c r="K33" s="446"/>
      <c r="L33" s="446"/>
      <c r="M33" s="446">
        <f>'[12]Actuals apprd'!$N$103</f>
        <v>-7.4140898999999996</v>
      </c>
      <c r="N33" s="446">
        <f t="shared" si="13"/>
        <v>1.8763897537703422</v>
      </c>
      <c r="O33" s="978"/>
      <c r="P33" s="446">
        <v>95.51</v>
      </c>
      <c r="Q33" s="446"/>
      <c r="R33" s="446"/>
      <c r="S33" s="446"/>
      <c r="T33" s="446">
        <f>P33*3.05/10</f>
        <v>29.130549999999999</v>
      </c>
      <c r="U33" s="446">
        <f t="shared" si="15"/>
        <v>3.05</v>
      </c>
      <c r="V33" s="446">
        <f t="shared" si="7"/>
        <v>55.997473963751808</v>
      </c>
      <c r="W33" s="447">
        <f t="shared" si="7"/>
        <v>0</v>
      </c>
      <c r="X33" s="447"/>
      <c r="Y33" s="447">
        <f>T33+M33</f>
        <v>21.716460099999999</v>
      </c>
      <c r="Z33" s="447">
        <f t="shared" si="8"/>
        <v>21.716460099999999</v>
      </c>
      <c r="AA33" s="447">
        <f t="shared" si="9"/>
        <v>3.8781142367345822</v>
      </c>
    </row>
    <row r="34" spans="1:27" ht="15.75" x14ac:dyDescent="0.2">
      <c r="A34" s="979" t="s">
        <v>999</v>
      </c>
      <c r="B34" s="980"/>
      <c r="C34" s="981">
        <f>SUM(C15:C32)</f>
        <v>9995.8099999999977</v>
      </c>
      <c r="D34" s="981">
        <f>SUM(D15:D32)</f>
        <v>1085.45</v>
      </c>
      <c r="E34" s="981">
        <v>2.72</v>
      </c>
      <c r="F34" s="981">
        <f>SUM(F15:F32)</f>
        <v>2722.8399999999997</v>
      </c>
      <c r="G34" s="981">
        <f>SUM(G15:G32)</f>
        <v>3808.3099999999995</v>
      </c>
      <c r="H34" s="982">
        <v>3.81</v>
      </c>
      <c r="I34" s="490">
        <f>SUM(I15:I33)</f>
        <v>4004.8631388147796</v>
      </c>
      <c r="J34" s="490">
        <f>SUM(J15:J32)</f>
        <v>646.64729815999999</v>
      </c>
      <c r="K34" s="490">
        <f t="shared" si="11"/>
        <v>2.8410011905209727</v>
      </c>
      <c r="L34" s="490">
        <f>SUM(L15:L32)</f>
        <v>1137.7820945246349</v>
      </c>
      <c r="M34" s="490">
        <f>SUM(M15:M33)</f>
        <v>1777.0153027846352</v>
      </c>
      <c r="N34" s="490">
        <f t="shared" si="13"/>
        <v>4.4371436455891837</v>
      </c>
      <c r="O34" s="992">
        <f>SUM(O15:O32)</f>
        <v>9898.8506429999998</v>
      </c>
      <c r="P34" s="490">
        <f>SUM(P15:P33)</f>
        <v>5949.9849781489729</v>
      </c>
      <c r="Q34" s="490">
        <f>SUM(Q15:Q32)</f>
        <v>646.64698715999998</v>
      </c>
      <c r="R34" s="490">
        <f>SUM(R15:R32)</f>
        <v>0</v>
      </c>
      <c r="S34" s="490">
        <f>SUM(S15:S32)</f>
        <v>1379.009843448019</v>
      </c>
      <c r="T34" s="490">
        <f>SUM(T15:T33)</f>
        <v>2312.9680006087706</v>
      </c>
      <c r="U34" s="446">
        <f t="shared" si="15"/>
        <v>3.8873509918143183</v>
      </c>
      <c r="V34" s="490">
        <f t="shared" si="7"/>
        <v>9954.8481169637525</v>
      </c>
      <c r="W34" s="490">
        <f>SUM(W15:W33)</f>
        <v>1293.29428532</v>
      </c>
      <c r="X34" s="447">
        <f t="shared" si="16"/>
        <v>2.8093738701122457</v>
      </c>
      <c r="Y34" s="490">
        <f>SUM(Y15:Y33)</f>
        <v>2796.6890180734058</v>
      </c>
      <c r="Z34" s="490">
        <f>SUM(Z15:Z33)</f>
        <v>4089.983303393406</v>
      </c>
      <c r="AA34" s="985">
        <f t="shared" si="9"/>
        <v>4.1085341085453528</v>
      </c>
    </row>
    <row r="35" spans="1:27" ht="15.75" x14ac:dyDescent="0.2">
      <c r="A35" s="974" t="s">
        <v>1000</v>
      </c>
      <c r="B35" s="986"/>
      <c r="C35" s="986"/>
      <c r="D35" s="986"/>
      <c r="E35" s="986"/>
      <c r="F35" s="986"/>
      <c r="G35" s="986"/>
      <c r="H35" s="987"/>
      <c r="I35" s="445"/>
      <c r="J35" s="445"/>
      <c r="K35" s="445"/>
      <c r="L35" s="445"/>
      <c r="M35" s="445"/>
      <c r="N35" s="445"/>
      <c r="O35" s="978"/>
      <c r="P35" s="446"/>
      <c r="Q35" s="446"/>
      <c r="R35" s="446"/>
      <c r="S35" s="446"/>
      <c r="T35" s="446"/>
      <c r="U35" s="446"/>
      <c r="V35" s="446"/>
      <c r="W35" s="447"/>
      <c r="X35" s="447"/>
      <c r="Y35" s="447"/>
      <c r="Z35" s="447"/>
      <c r="AA35" s="447"/>
    </row>
    <row r="36" spans="1:27" ht="31.5" x14ac:dyDescent="0.2">
      <c r="A36" s="979" t="s">
        <v>1001</v>
      </c>
      <c r="B36" s="993">
        <v>65.284999999999997</v>
      </c>
      <c r="C36" s="981">
        <v>4381.93</v>
      </c>
      <c r="D36" s="981">
        <v>705.49</v>
      </c>
      <c r="E36" s="981">
        <v>3.15</v>
      </c>
      <c r="F36" s="981">
        <v>1380.31</v>
      </c>
      <c r="G36" s="981">
        <v>2085.8000000000002</v>
      </c>
      <c r="H36" s="982">
        <v>4.76</v>
      </c>
      <c r="I36" s="446">
        <f>'[12]Actuals apprd'!$F$66</f>
        <v>1429.645626640297</v>
      </c>
      <c r="J36" s="446">
        <f>'[12]Actuals apprd'!$G$66-100</f>
        <v>529.13353452594333</v>
      </c>
      <c r="K36" s="446">
        <f t="shared" si="11"/>
        <v>2.4909405830236322</v>
      </c>
      <c r="L36" s="446">
        <f>'[12]Actuals apprd'!$H$66+100</f>
        <v>356.11623107405671</v>
      </c>
      <c r="M36" s="446">
        <f t="shared" ref="M36:M49" si="22">J36+L36</f>
        <v>885.24976560000005</v>
      </c>
      <c r="N36" s="446">
        <f>M36/I36*10</f>
        <v>6.1920922856971146</v>
      </c>
      <c r="O36" s="978">
        <v>3729.65</v>
      </c>
      <c r="P36" s="446">
        <v>2300</v>
      </c>
      <c r="Q36" s="446">
        <v>612</v>
      </c>
      <c r="R36" s="446"/>
      <c r="S36" s="446">
        <f>P36*K36/10</f>
        <v>572.91633409543533</v>
      </c>
      <c r="T36" s="446">
        <f>Q36+S36</f>
        <v>1184.9163340954353</v>
      </c>
      <c r="U36" s="446">
        <f>T36/P36*10</f>
        <v>5.1518101482410223</v>
      </c>
      <c r="V36" s="446">
        <f t="shared" si="7"/>
        <v>3729.645626640297</v>
      </c>
      <c r="W36" s="447">
        <f t="shared" si="7"/>
        <v>1141.1335345259433</v>
      </c>
      <c r="X36" s="447">
        <f t="shared" si="16"/>
        <v>2.4909405830236322</v>
      </c>
      <c r="Y36" s="447">
        <f>L36+S36</f>
        <v>929.03256516949205</v>
      </c>
      <c r="Z36" s="447">
        <f t="shared" si="8"/>
        <v>2070.1660996954352</v>
      </c>
      <c r="AA36" s="447">
        <f t="shared" si="9"/>
        <v>5.5505705016813138</v>
      </c>
    </row>
    <row r="37" spans="1:27" ht="15.75" x14ac:dyDescent="0.2">
      <c r="A37" s="994" t="s">
        <v>1002</v>
      </c>
      <c r="B37" s="986"/>
      <c r="C37" s="986"/>
      <c r="D37" s="986"/>
      <c r="E37" s="986"/>
      <c r="F37" s="986"/>
      <c r="G37" s="986"/>
      <c r="H37" s="987"/>
      <c r="I37" s="445"/>
      <c r="J37" s="445"/>
      <c r="K37" s="445"/>
      <c r="L37" s="445"/>
      <c r="M37" s="445"/>
      <c r="N37" s="445"/>
      <c r="O37" s="978"/>
      <c r="P37" s="446"/>
      <c r="Q37" s="446"/>
      <c r="R37" s="446"/>
      <c r="S37" s="446"/>
      <c r="T37" s="446"/>
      <c r="U37" s="446"/>
      <c r="V37" s="446"/>
      <c r="W37" s="447"/>
      <c r="X37" s="447"/>
      <c r="Y37" s="447"/>
      <c r="Z37" s="447"/>
      <c r="AA37" s="447"/>
    </row>
    <row r="38" spans="1:27" ht="31.5" x14ac:dyDescent="0.2">
      <c r="A38" s="988" t="s">
        <v>1003</v>
      </c>
      <c r="B38" s="975">
        <v>1.431</v>
      </c>
      <c r="C38" s="976">
        <v>64.989999999999995</v>
      </c>
      <c r="D38" s="976">
        <v>0</v>
      </c>
      <c r="E38" s="976">
        <v>0.44</v>
      </c>
      <c r="F38" s="976">
        <v>2.86</v>
      </c>
      <c r="G38" s="976">
        <v>2.86</v>
      </c>
      <c r="H38" s="977">
        <v>0.44</v>
      </c>
      <c r="I38" s="446">
        <f>'[12]Actuals apprd'!$F$8</f>
        <v>30.87656114</v>
      </c>
      <c r="J38" s="446"/>
      <c r="K38" s="490">
        <f t="shared" si="11"/>
        <v>0.43660925526565947</v>
      </c>
      <c r="L38" s="446">
        <f>'[12]Actuals apprd'!$N$8</f>
        <v>1.3480992364500002</v>
      </c>
      <c r="M38" s="446">
        <f t="shared" si="22"/>
        <v>1.3480992364500002</v>
      </c>
      <c r="N38" s="490">
        <f t="shared" ref="N38:N54" si="23">M38/I38*10</f>
        <v>0.43660925526565947</v>
      </c>
      <c r="O38" s="978">
        <f t="shared" ref="O38:O49" si="24">C38-(C38*0.97%)</f>
        <v>64.359596999999994</v>
      </c>
      <c r="P38" s="446">
        <f t="shared" ref="P38:P49" si="25">O38-I38</f>
        <v>33.483035859999994</v>
      </c>
      <c r="Q38" s="446"/>
      <c r="R38" s="446"/>
      <c r="S38" s="446"/>
      <c r="T38" s="446">
        <f t="shared" ref="T38:T49" si="26">P38*N38/10</f>
        <v>1.4619003350867967</v>
      </c>
      <c r="U38" s="446">
        <f t="shared" ref="U38:U67" si="27">T38/P38*10</f>
        <v>0.43660925526565947</v>
      </c>
      <c r="V38" s="446">
        <f t="shared" si="7"/>
        <v>64.359596999999994</v>
      </c>
      <c r="W38" s="447">
        <f t="shared" si="7"/>
        <v>0</v>
      </c>
      <c r="X38" s="447"/>
      <c r="Y38" s="447">
        <f>M38+T38</f>
        <v>2.8099995715367969</v>
      </c>
      <c r="Z38" s="447">
        <f t="shared" si="8"/>
        <v>2.8099995715367969</v>
      </c>
      <c r="AA38" s="447">
        <f t="shared" si="9"/>
        <v>0.43660925526565947</v>
      </c>
    </row>
    <row r="39" spans="1:27" ht="47.25" x14ac:dyDescent="0.2">
      <c r="A39" s="988" t="s">
        <v>1004</v>
      </c>
      <c r="B39" s="975">
        <v>17.917000000000002</v>
      </c>
      <c r="C39" s="976">
        <v>46.25</v>
      </c>
      <c r="D39" s="976">
        <v>0</v>
      </c>
      <c r="E39" s="976">
        <v>0.61</v>
      </c>
      <c r="F39" s="976">
        <v>2.82</v>
      </c>
      <c r="G39" s="976">
        <v>2.82</v>
      </c>
      <c r="H39" s="977">
        <v>0.61</v>
      </c>
      <c r="I39" s="446">
        <f>'[12]Actuals apprd'!$F$23</f>
        <v>19.140219163800001</v>
      </c>
      <c r="J39" s="445"/>
      <c r="K39" s="490">
        <f t="shared" si="11"/>
        <v>0.80680773999487132</v>
      </c>
      <c r="L39" s="446">
        <f>'[12]Actuals apprd'!$N$23</f>
        <v>1.5442476966552003</v>
      </c>
      <c r="M39" s="446">
        <f t="shared" si="22"/>
        <v>1.5442476966552003</v>
      </c>
      <c r="N39" s="490">
        <f t="shared" si="23"/>
        <v>0.80680773999487132</v>
      </c>
      <c r="O39" s="978">
        <f t="shared" si="24"/>
        <v>45.801375</v>
      </c>
      <c r="P39" s="446">
        <f t="shared" si="25"/>
        <v>26.661155836199999</v>
      </c>
      <c r="Q39" s="446"/>
      <c r="R39" s="446"/>
      <c r="S39" s="446"/>
      <c r="T39" s="446">
        <f t="shared" si="26"/>
        <v>2.1510426885855596</v>
      </c>
      <c r="U39" s="446">
        <f t="shared" si="27"/>
        <v>0.80680773999487132</v>
      </c>
      <c r="V39" s="446">
        <f t="shared" si="7"/>
        <v>45.801375</v>
      </c>
      <c r="W39" s="447">
        <f t="shared" si="7"/>
        <v>0</v>
      </c>
      <c r="X39" s="447"/>
      <c r="Y39" s="447">
        <f t="shared" ref="Y39:Y49" si="28">M39+T39</f>
        <v>3.6952903852407601</v>
      </c>
      <c r="Z39" s="447">
        <f t="shared" si="8"/>
        <v>3.6952903852407601</v>
      </c>
      <c r="AA39" s="447">
        <f t="shared" si="9"/>
        <v>0.80680773999487132</v>
      </c>
    </row>
    <row r="40" spans="1:27" ht="31.5" x14ac:dyDescent="0.2">
      <c r="A40" s="974" t="s">
        <v>1005</v>
      </c>
      <c r="B40" s="975">
        <v>17.917000000000002</v>
      </c>
      <c r="C40" s="976">
        <v>92.06</v>
      </c>
      <c r="D40" s="976">
        <v>0</v>
      </c>
      <c r="E40" s="976">
        <v>1.62</v>
      </c>
      <c r="F40" s="976">
        <v>14.95</v>
      </c>
      <c r="G40" s="976">
        <v>14.95</v>
      </c>
      <c r="H40" s="977">
        <v>1.62</v>
      </c>
      <c r="I40" s="446">
        <f>'[12]Actuals apprd'!$F$17</f>
        <v>47.628043429999927</v>
      </c>
      <c r="J40" s="445"/>
      <c r="K40" s="490">
        <f t="shared" si="11"/>
        <v>1.321645799518204</v>
      </c>
      <c r="L40" s="446">
        <f>'[12]Actuals apprd'!$N$17</f>
        <v>6.2947403538529993</v>
      </c>
      <c r="M40" s="446">
        <f t="shared" si="22"/>
        <v>6.2947403538529993</v>
      </c>
      <c r="N40" s="490">
        <f t="shared" si="23"/>
        <v>1.321645799518204</v>
      </c>
      <c r="O40" s="978">
        <f t="shared" si="24"/>
        <v>91.167017999999999</v>
      </c>
      <c r="P40" s="446">
        <f t="shared" si="25"/>
        <v>43.538974570000072</v>
      </c>
      <c r="Q40" s="446"/>
      <c r="R40" s="446"/>
      <c r="S40" s="446"/>
      <c r="T40" s="446">
        <f t="shared" si="26"/>
        <v>5.7543102855770503</v>
      </c>
      <c r="U40" s="446">
        <f t="shared" si="27"/>
        <v>1.321645799518204</v>
      </c>
      <c r="V40" s="446">
        <f t="shared" si="7"/>
        <v>91.167017999999999</v>
      </c>
      <c r="W40" s="447">
        <f t="shared" si="7"/>
        <v>0</v>
      </c>
      <c r="X40" s="447"/>
      <c r="Y40" s="447">
        <f t="shared" si="28"/>
        <v>12.04905063943005</v>
      </c>
      <c r="Z40" s="447">
        <f t="shared" si="8"/>
        <v>12.04905063943005</v>
      </c>
      <c r="AA40" s="447">
        <f t="shared" si="9"/>
        <v>1.321645799518204</v>
      </c>
    </row>
    <row r="41" spans="1:27" ht="15.75" x14ac:dyDescent="0.2">
      <c r="A41" s="974" t="s">
        <v>1006</v>
      </c>
      <c r="B41" s="975">
        <v>2</v>
      </c>
      <c r="C41" s="976">
        <v>55.76</v>
      </c>
      <c r="D41" s="976">
        <v>0</v>
      </c>
      <c r="E41" s="976">
        <v>0.7</v>
      </c>
      <c r="F41" s="976">
        <v>3.9</v>
      </c>
      <c r="G41" s="976">
        <v>3.9</v>
      </c>
      <c r="H41" s="977">
        <v>0.7</v>
      </c>
      <c r="I41" s="446">
        <f>'[12]Actuals apprd'!$F$10</f>
        <v>24.788260000000037</v>
      </c>
      <c r="J41" s="445"/>
      <c r="K41" s="490">
        <f t="shared" si="11"/>
        <v>0.76972243594346579</v>
      </c>
      <c r="L41" s="446">
        <f>'[12]Actuals apprd'!$N$10</f>
        <v>1.9080079870000004</v>
      </c>
      <c r="M41" s="446">
        <f t="shared" si="22"/>
        <v>1.9080079870000004</v>
      </c>
      <c r="N41" s="490">
        <f t="shared" si="23"/>
        <v>0.76972243594346579</v>
      </c>
      <c r="O41" s="978">
        <f t="shared" si="24"/>
        <v>55.219127999999998</v>
      </c>
      <c r="P41" s="446">
        <f t="shared" si="25"/>
        <v>30.430867999999961</v>
      </c>
      <c r="Q41" s="446"/>
      <c r="R41" s="446"/>
      <c r="S41" s="446"/>
      <c r="T41" s="446">
        <f t="shared" si="26"/>
        <v>2.3423321844834031</v>
      </c>
      <c r="U41" s="446">
        <f t="shared" si="27"/>
        <v>0.76972243594346568</v>
      </c>
      <c r="V41" s="446">
        <f t="shared" si="7"/>
        <v>55.219127999999998</v>
      </c>
      <c r="W41" s="447">
        <f t="shared" si="7"/>
        <v>0</v>
      </c>
      <c r="X41" s="447"/>
      <c r="Y41" s="447">
        <f t="shared" si="28"/>
        <v>4.250340171483403</v>
      </c>
      <c r="Z41" s="447">
        <f t="shared" si="8"/>
        <v>4.250340171483403</v>
      </c>
      <c r="AA41" s="447">
        <f t="shared" si="9"/>
        <v>0.76972243594346568</v>
      </c>
    </row>
    <row r="42" spans="1:27" ht="15.75" x14ac:dyDescent="0.2">
      <c r="A42" s="974" t="s">
        <v>1007</v>
      </c>
      <c r="B42" s="975">
        <v>17.917000000000002</v>
      </c>
      <c r="C42" s="976">
        <v>185.28</v>
      </c>
      <c r="D42" s="976">
        <v>0</v>
      </c>
      <c r="E42" s="976">
        <v>1.21</v>
      </c>
      <c r="F42" s="976">
        <v>22.48</v>
      </c>
      <c r="G42" s="976">
        <v>22.48</v>
      </c>
      <c r="H42" s="977">
        <v>1.21</v>
      </c>
      <c r="I42" s="446">
        <f>'[12]Actuals apprd'!$F$11</f>
        <v>115.40151923220004</v>
      </c>
      <c r="J42" s="445"/>
      <c r="K42" s="490">
        <f t="shared" si="11"/>
        <v>1.1588103255069662</v>
      </c>
      <c r="L42" s="446">
        <f>'[12]Actuals apprd'!$N$11+'[12]Actuals apprd'!$N$12</f>
        <v>13.372847206546414</v>
      </c>
      <c r="M42" s="446">
        <f t="shared" si="22"/>
        <v>13.372847206546414</v>
      </c>
      <c r="N42" s="490">
        <f t="shared" si="23"/>
        <v>1.1588103255069662</v>
      </c>
      <c r="O42" s="978">
        <f t="shared" si="24"/>
        <v>183.48278400000001</v>
      </c>
      <c r="P42" s="446">
        <f t="shared" si="25"/>
        <v>68.081264767799965</v>
      </c>
      <c r="Q42" s="446"/>
      <c r="R42" s="446"/>
      <c r="S42" s="446"/>
      <c r="T42" s="446">
        <f t="shared" si="26"/>
        <v>7.8893272586500229</v>
      </c>
      <c r="U42" s="446">
        <f t="shared" si="27"/>
        <v>1.1588103255069662</v>
      </c>
      <c r="V42" s="446">
        <f t="shared" si="7"/>
        <v>183.48278400000001</v>
      </c>
      <c r="W42" s="447">
        <f t="shared" si="7"/>
        <v>0</v>
      </c>
      <c r="X42" s="447"/>
      <c r="Y42" s="447">
        <f t="shared" si="28"/>
        <v>21.262174465196438</v>
      </c>
      <c r="Z42" s="447">
        <f t="shared" si="8"/>
        <v>21.262174465196438</v>
      </c>
      <c r="AA42" s="447">
        <f t="shared" si="9"/>
        <v>1.1588103255069662</v>
      </c>
    </row>
    <row r="43" spans="1:27" ht="15.75" x14ac:dyDescent="0.2">
      <c r="A43" s="974" t="s">
        <v>1008</v>
      </c>
      <c r="B43" s="975">
        <v>17.917000000000002</v>
      </c>
      <c r="C43" s="976">
        <v>82.29</v>
      </c>
      <c r="D43" s="976">
        <v>0</v>
      </c>
      <c r="E43" s="976">
        <v>1.6</v>
      </c>
      <c r="F43" s="976">
        <v>13.19</v>
      </c>
      <c r="G43" s="976">
        <v>13.19</v>
      </c>
      <c r="H43" s="977">
        <v>1.6</v>
      </c>
      <c r="I43" s="446">
        <f>'[12]Actuals apprd'!$F$18</f>
        <v>60.515940202999964</v>
      </c>
      <c r="J43" s="445"/>
      <c r="K43" s="490">
        <f t="shared" si="11"/>
        <v>0.98086607724071129</v>
      </c>
      <c r="L43" s="446">
        <f>'[12]Actuals apprd'!$N$18</f>
        <v>5.9358032877450029</v>
      </c>
      <c r="M43" s="446">
        <f t="shared" si="22"/>
        <v>5.9358032877450029</v>
      </c>
      <c r="N43" s="490">
        <f t="shared" si="23"/>
        <v>0.98086607724071129</v>
      </c>
      <c r="O43" s="978">
        <f t="shared" si="24"/>
        <v>81.491787000000002</v>
      </c>
      <c r="P43" s="446">
        <f t="shared" si="25"/>
        <v>20.975846797000038</v>
      </c>
      <c r="Q43" s="446"/>
      <c r="R43" s="446"/>
      <c r="S43" s="446"/>
      <c r="T43" s="446">
        <f t="shared" si="26"/>
        <v>2.0574496564575564</v>
      </c>
      <c r="U43" s="446">
        <f t="shared" si="27"/>
        <v>0.98086607724071118</v>
      </c>
      <c r="V43" s="446">
        <f t="shared" si="7"/>
        <v>81.491787000000002</v>
      </c>
      <c r="W43" s="447">
        <f t="shared" si="7"/>
        <v>0</v>
      </c>
      <c r="X43" s="447"/>
      <c r="Y43" s="447">
        <f t="shared" si="28"/>
        <v>7.9932529442025597</v>
      </c>
      <c r="Z43" s="447">
        <f t="shared" si="8"/>
        <v>7.9932529442025597</v>
      </c>
      <c r="AA43" s="447">
        <f t="shared" si="9"/>
        <v>0.98086607724071129</v>
      </c>
    </row>
    <row r="44" spans="1:27" ht="31.5" x14ac:dyDescent="0.2">
      <c r="A44" s="988" t="s">
        <v>1009</v>
      </c>
      <c r="B44" s="975">
        <v>17.917000000000002</v>
      </c>
      <c r="C44" s="976">
        <v>9.3699999999999992</v>
      </c>
      <c r="D44" s="976">
        <v>0</v>
      </c>
      <c r="E44" s="976">
        <v>4.32</v>
      </c>
      <c r="F44" s="976">
        <v>4.05</v>
      </c>
      <c r="G44" s="976">
        <v>4.05</v>
      </c>
      <c r="H44" s="977">
        <v>4.32</v>
      </c>
      <c r="I44" s="446">
        <f>'[12]Actuals apprd'!$F$9</f>
        <v>4.7509304017200007</v>
      </c>
      <c r="J44" s="445"/>
      <c r="K44" s="490">
        <f t="shared" si="11"/>
        <v>4.0613172540444777</v>
      </c>
      <c r="L44" s="446">
        <f>'[12]Actuals apprd'!$N$9</f>
        <v>1.9295035613269902</v>
      </c>
      <c r="M44" s="446">
        <f t="shared" si="22"/>
        <v>1.9295035613269902</v>
      </c>
      <c r="N44" s="490">
        <f t="shared" si="23"/>
        <v>4.0613172540444777</v>
      </c>
      <c r="O44" s="978">
        <f t="shared" si="24"/>
        <v>9.2791109999999986</v>
      </c>
      <c r="P44" s="446">
        <f t="shared" si="25"/>
        <v>4.5281805982799979</v>
      </c>
      <c r="Q44" s="446"/>
      <c r="R44" s="446"/>
      <c r="S44" s="446"/>
      <c r="T44" s="446">
        <f t="shared" si="26"/>
        <v>1.8390377993224001</v>
      </c>
      <c r="U44" s="446">
        <f t="shared" si="27"/>
        <v>4.0613172540444777</v>
      </c>
      <c r="V44" s="446">
        <f t="shared" si="7"/>
        <v>9.2791109999999986</v>
      </c>
      <c r="W44" s="447">
        <f t="shared" si="7"/>
        <v>0</v>
      </c>
      <c r="X44" s="447"/>
      <c r="Y44" s="447">
        <f t="shared" si="28"/>
        <v>3.7685413606493903</v>
      </c>
      <c r="Z44" s="447">
        <f t="shared" si="8"/>
        <v>3.7685413606493903</v>
      </c>
      <c r="AA44" s="447">
        <f t="shared" si="9"/>
        <v>4.0613172540444777</v>
      </c>
    </row>
    <row r="45" spans="1:27" ht="15.75" x14ac:dyDescent="0.2">
      <c r="A45" s="974" t="s">
        <v>1010</v>
      </c>
      <c r="B45" s="975">
        <v>17.917000000000002</v>
      </c>
      <c r="C45" s="976">
        <v>44.36</v>
      </c>
      <c r="D45" s="976">
        <v>0</v>
      </c>
      <c r="E45" s="976">
        <v>2.2799999999999998</v>
      </c>
      <c r="F45" s="976">
        <v>10.119999999999999</v>
      </c>
      <c r="G45" s="976">
        <v>10.119999999999999</v>
      </c>
      <c r="H45" s="977">
        <v>2.2799999999999998</v>
      </c>
      <c r="I45" s="446">
        <f>'[12]Actuals apprd'!$F$15</f>
        <v>40.531067635000014</v>
      </c>
      <c r="J45" s="445"/>
      <c r="K45" s="490">
        <f t="shared" si="11"/>
        <v>1.601840769874652</v>
      </c>
      <c r="L45" s="446">
        <f>'[12]Actuals apprd'!$N$15</f>
        <v>6.4924316584290009</v>
      </c>
      <c r="M45" s="446">
        <f t="shared" si="22"/>
        <v>6.4924316584290009</v>
      </c>
      <c r="N45" s="490">
        <f t="shared" si="23"/>
        <v>1.601840769874652</v>
      </c>
      <c r="O45" s="978">
        <f t="shared" si="24"/>
        <v>43.929707999999998</v>
      </c>
      <c r="P45" s="446">
        <f t="shared" si="25"/>
        <v>3.3986403649999843</v>
      </c>
      <c r="Q45" s="446"/>
      <c r="R45" s="446"/>
      <c r="S45" s="446"/>
      <c r="T45" s="446">
        <f t="shared" si="26"/>
        <v>0.54440806987986434</v>
      </c>
      <c r="U45" s="446">
        <f t="shared" si="27"/>
        <v>1.601840769874652</v>
      </c>
      <c r="V45" s="446">
        <f t="shared" si="7"/>
        <v>43.929707999999998</v>
      </c>
      <c r="W45" s="447">
        <f t="shared" si="7"/>
        <v>0</v>
      </c>
      <c r="X45" s="447"/>
      <c r="Y45" s="447">
        <f t="shared" si="28"/>
        <v>7.0368397283088653</v>
      </c>
      <c r="Z45" s="447">
        <f t="shared" si="8"/>
        <v>7.0368397283088653</v>
      </c>
      <c r="AA45" s="447">
        <f t="shared" si="9"/>
        <v>1.601840769874652</v>
      </c>
    </row>
    <row r="46" spans="1:27" ht="15.75" x14ac:dyDescent="0.2">
      <c r="A46" s="974" t="s">
        <v>1011</v>
      </c>
      <c r="B46" s="975">
        <v>17.917000000000002</v>
      </c>
      <c r="C46" s="976">
        <v>50.6</v>
      </c>
      <c r="D46" s="976">
        <v>0</v>
      </c>
      <c r="E46" s="976">
        <v>1.59</v>
      </c>
      <c r="F46" s="976">
        <v>8.07</v>
      </c>
      <c r="G46" s="976">
        <v>8.07</v>
      </c>
      <c r="H46" s="977">
        <v>1.59</v>
      </c>
      <c r="I46" s="446">
        <f>'[12]Actuals apprd'!$F$16</f>
        <v>29.322835752000003</v>
      </c>
      <c r="J46" s="445"/>
      <c r="K46" s="490">
        <f t="shared" si="11"/>
        <v>1.3383728001187498</v>
      </c>
      <c r="L46" s="446">
        <f>'[12]Actuals apprd'!$N$16</f>
        <v>3.9244885792826429</v>
      </c>
      <c r="M46" s="446">
        <f t="shared" si="22"/>
        <v>3.9244885792826429</v>
      </c>
      <c r="N46" s="490">
        <f t="shared" si="23"/>
        <v>1.3383728001187498</v>
      </c>
      <c r="O46" s="978">
        <f t="shared" si="24"/>
        <v>50.109180000000002</v>
      </c>
      <c r="P46" s="446">
        <f t="shared" si="25"/>
        <v>20.786344247999999</v>
      </c>
      <c r="Q46" s="446"/>
      <c r="R46" s="446"/>
      <c r="S46" s="446"/>
      <c r="T46" s="446">
        <f t="shared" si="26"/>
        <v>2.7819877755428029</v>
      </c>
      <c r="U46" s="446">
        <f t="shared" si="27"/>
        <v>1.3383728001187498</v>
      </c>
      <c r="V46" s="446">
        <f t="shared" si="7"/>
        <v>50.109180000000002</v>
      </c>
      <c r="W46" s="447">
        <f t="shared" si="7"/>
        <v>0</v>
      </c>
      <c r="X46" s="447"/>
      <c r="Y46" s="447">
        <f t="shared" si="28"/>
        <v>6.7064763548254458</v>
      </c>
      <c r="Z46" s="447">
        <f t="shared" si="8"/>
        <v>6.7064763548254458</v>
      </c>
      <c r="AA46" s="447">
        <f t="shared" si="9"/>
        <v>1.3383728001187498</v>
      </c>
    </row>
    <row r="47" spans="1:27" ht="31.5" x14ac:dyDescent="0.2">
      <c r="A47" s="988" t="s">
        <v>1012</v>
      </c>
      <c r="B47" s="975">
        <v>17.917000000000002</v>
      </c>
      <c r="C47" s="976">
        <v>13.5</v>
      </c>
      <c r="D47" s="976">
        <v>0</v>
      </c>
      <c r="E47" s="976">
        <v>2.0099999999999998</v>
      </c>
      <c r="F47" s="976">
        <v>2.72</v>
      </c>
      <c r="G47" s="976">
        <v>2.72</v>
      </c>
      <c r="H47" s="977">
        <v>2.0099999999999998</v>
      </c>
      <c r="I47" s="446">
        <f>'[12]Actuals apprd'!$F$13</f>
        <v>6.3119881484600002</v>
      </c>
      <c r="J47" s="445"/>
      <c r="K47" s="490">
        <f t="shared" si="11"/>
        <v>1.7273220670354359</v>
      </c>
      <c r="L47" s="446">
        <f>'[12]Actuals apprd'!$N$13</f>
        <v>1.09028364157011</v>
      </c>
      <c r="M47" s="446">
        <f t="shared" si="22"/>
        <v>1.09028364157011</v>
      </c>
      <c r="N47" s="490">
        <f t="shared" si="23"/>
        <v>1.7273220670354359</v>
      </c>
      <c r="O47" s="978">
        <f t="shared" si="24"/>
        <v>13.36905</v>
      </c>
      <c r="P47" s="446">
        <f t="shared" si="25"/>
        <v>7.0570618515399994</v>
      </c>
      <c r="Q47" s="446"/>
      <c r="R47" s="446"/>
      <c r="S47" s="446"/>
      <c r="T47" s="446">
        <f t="shared" si="26"/>
        <v>1.2189818664598993</v>
      </c>
      <c r="U47" s="446">
        <f t="shared" si="27"/>
        <v>1.7273220670354359</v>
      </c>
      <c r="V47" s="446">
        <f t="shared" si="7"/>
        <v>13.36905</v>
      </c>
      <c r="W47" s="447">
        <f t="shared" si="7"/>
        <v>0</v>
      </c>
      <c r="X47" s="447"/>
      <c r="Y47" s="447">
        <f t="shared" si="28"/>
        <v>2.3092655080300091</v>
      </c>
      <c r="Z47" s="447">
        <f t="shared" si="8"/>
        <v>2.3092655080300091</v>
      </c>
      <c r="AA47" s="447">
        <f t="shared" si="9"/>
        <v>1.7273220670354354</v>
      </c>
    </row>
    <row r="48" spans="1:27" ht="31.5" x14ac:dyDescent="0.2">
      <c r="A48" s="974" t="s">
        <v>1013</v>
      </c>
      <c r="B48" s="975">
        <v>17.917000000000002</v>
      </c>
      <c r="C48" s="976">
        <v>52.06</v>
      </c>
      <c r="D48" s="976">
        <v>0</v>
      </c>
      <c r="E48" s="976">
        <v>0.99</v>
      </c>
      <c r="F48" s="976">
        <v>5.15</v>
      </c>
      <c r="G48" s="976">
        <v>5.15</v>
      </c>
      <c r="H48" s="977">
        <v>0.99</v>
      </c>
      <c r="I48" s="446">
        <f>'[12]Actuals apprd'!$F$20+'[12]Actuals apprd'!$F$21</f>
        <v>27.081678553619994</v>
      </c>
      <c r="J48" s="445"/>
      <c r="K48" s="490">
        <f t="shared" si="11"/>
        <v>0.9298991685518464</v>
      </c>
      <c r="L48" s="446">
        <f>'[12]Actuals apprd'!$N$20</f>
        <v>2.5183230369999601</v>
      </c>
      <c r="M48" s="446">
        <f t="shared" si="22"/>
        <v>2.5183230369999601</v>
      </c>
      <c r="N48" s="490">
        <f t="shared" si="23"/>
        <v>0.9298991685518464</v>
      </c>
      <c r="O48" s="978">
        <f t="shared" si="24"/>
        <v>51.555018000000004</v>
      </c>
      <c r="P48" s="446">
        <f t="shared" si="25"/>
        <v>24.47333944638001</v>
      </c>
      <c r="Q48" s="446"/>
      <c r="R48" s="446"/>
      <c r="S48" s="446"/>
      <c r="T48" s="446">
        <f t="shared" si="26"/>
        <v>2.2757738002875874</v>
      </c>
      <c r="U48" s="446">
        <f t="shared" si="27"/>
        <v>0.9298991685518464</v>
      </c>
      <c r="V48" s="446">
        <f t="shared" si="7"/>
        <v>51.555018000000004</v>
      </c>
      <c r="W48" s="447">
        <f t="shared" si="7"/>
        <v>0</v>
      </c>
      <c r="X48" s="447"/>
      <c r="Y48" s="447">
        <f t="shared" si="28"/>
        <v>4.7940968372875474</v>
      </c>
      <c r="Z48" s="447">
        <f t="shared" si="8"/>
        <v>4.7940968372875474</v>
      </c>
      <c r="AA48" s="447">
        <f t="shared" si="9"/>
        <v>0.9298991685518464</v>
      </c>
    </row>
    <row r="49" spans="1:27" ht="15.75" x14ac:dyDescent="0.2">
      <c r="A49" s="974" t="s">
        <v>1014</v>
      </c>
      <c r="B49" s="975">
        <v>17.917000000000002</v>
      </c>
      <c r="C49" s="976">
        <v>17.55</v>
      </c>
      <c r="D49" s="976">
        <v>0</v>
      </c>
      <c r="E49" s="976">
        <v>0.64</v>
      </c>
      <c r="F49" s="976">
        <v>1.1200000000000001</v>
      </c>
      <c r="G49" s="976">
        <v>1.1200000000000001</v>
      </c>
      <c r="H49" s="977">
        <v>0.64</v>
      </c>
      <c r="I49" s="446">
        <f>'[12]Actuals apprd'!$F$22</f>
        <v>9.4245940000000008</v>
      </c>
      <c r="J49" s="445"/>
      <c r="K49" s="490">
        <f t="shared" si="11"/>
        <v>0.6252657048155128</v>
      </c>
      <c r="L49" s="446">
        <f>'[12]Actuals apprd'!$N$22</f>
        <v>0.58928754100100533</v>
      </c>
      <c r="M49" s="446">
        <f t="shared" si="22"/>
        <v>0.58928754100100533</v>
      </c>
      <c r="N49" s="490">
        <f t="shared" si="23"/>
        <v>0.6252657048155128</v>
      </c>
      <c r="O49" s="978">
        <f t="shared" si="24"/>
        <v>17.379764999999999</v>
      </c>
      <c r="P49" s="446">
        <f t="shared" si="25"/>
        <v>7.9551709999999982</v>
      </c>
      <c r="Q49" s="446"/>
      <c r="R49" s="446"/>
      <c r="S49" s="446"/>
      <c r="T49" s="446">
        <f t="shared" si="26"/>
        <v>0.49740956022429267</v>
      </c>
      <c r="U49" s="446">
        <f t="shared" si="27"/>
        <v>0.6252657048155128</v>
      </c>
      <c r="V49" s="446">
        <f t="shared" si="7"/>
        <v>17.379764999999999</v>
      </c>
      <c r="W49" s="447">
        <f t="shared" si="7"/>
        <v>0</v>
      </c>
      <c r="X49" s="447"/>
      <c r="Y49" s="447">
        <f t="shared" si="28"/>
        <v>1.0866971012252979</v>
      </c>
      <c r="Z49" s="447">
        <f t="shared" si="8"/>
        <v>1.0866971012252979</v>
      </c>
      <c r="AA49" s="447">
        <f t="shared" si="9"/>
        <v>0.6252657048155128</v>
      </c>
    </row>
    <row r="50" spans="1:27" ht="15.75" x14ac:dyDescent="0.2">
      <c r="A50" s="979" t="s">
        <v>1015</v>
      </c>
      <c r="B50" s="980"/>
      <c r="C50" s="981">
        <f>SUM(C38:C49)</f>
        <v>714.06999999999994</v>
      </c>
      <c r="D50" s="981">
        <f>SUM(D38:D49)</f>
        <v>0</v>
      </c>
      <c r="E50" s="981">
        <v>1.28</v>
      </c>
      <c r="F50" s="981">
        <f>SUM(F38:F49)</f>
        <v>91.43</v>
      </c>
      <c r="G50" s="981">
        <f>SUM(G38:G49)</f>
        <v>91.43</v>
      </c>
      <c r="H50" s="982">
        <v>1.28</v>
      </c>
      <c r="I50" s="983">
        <f>SUM(I38:I49)</f>
        <v>415.77363765979999</v>
      </c>
      <c r="J50" s="365"/>
      <c r="K50" s="365"/>
      <c r="L50" s="983">
        <f>SUM(L38:L49)</f>
        <v>46.948063786859329</v>
      </c>
      <c r="M50" s="983">
        <f>SUM(M38:M49)</f>
        <v>46.948063786859329</v>
      </c>
      <c r="N50" s="490">
        <f t="shared" si="23"/>
        <v>1.1291736544699791</v>
      </c>
      <c r="O50" s="984">
        <f>SUM(O38:O49)</f>
        <v>707.14352100000008</v>
      </c>
      <c r="P50" s="983">
        <f>SUM(P38:P49)</f>
        <v>291.36988334019998</v>
      </c>
      <c r="Q50" s="983">
        <f t="shared" ref="Q50:V50" si="29">SUM(Q38:Q49)</f>
        <v>0</v>
      </c>
      <c r="R50" s="983">
        <f t="shared" si="29"/>
        <v>0</v>
      </c>
      <c r="S50" s="983">
        <f t="shared" si="29"/>
        <v>0</v>
      </c>
      <c r="T50" s="983">
        <f t="shared" si="29"/>
        <v>30.813961280557237</v>
      </c>
      <c r="U50" s="446">
        <f t="shared" si="27"/>
        <v>1.0575547797635361</v>
      </c>
      <c r="V50" s="983">
        <f t="shared" si="29"/>
        <v>707.14352100000008</v>
      </c>
      <c r="W50" s="447">
        <f t="shared" si="7"/>
        <v>0</v>
      </c>
      <c r="X50" s="447"/>
      <c r="Y50" s="983">
        <f>SUM(Y38:Y49)</f>
        <v>77.762025067416545</v>
      </c>
      <c r="Z50" s="983">
        <f>SUM(Z38:Z49)</f>
        <v>77.762025067416545</v>
      </c>
      <c r="AA50" s="985">
        <f t="shared" si="9"/>
        <v>1.0996639686021608</v>
      </c>
    </row>
    <row r="51" spans="1:27" ht="15.75" x14ac:dyDescent="0.2">
      <c r="A51" s="974" t="s">
        <v>1016</v>
      </c>
      <c r="B51" s="986"/>
      <c r="C51" s="986"/>
      <c r="D51" s="986"/>
      <c r="E51" s="986"/>
      <c r="F51" s="986"/>
      <c r="G51" s="986"/>
      <c r="H51" s="987"/>
      <c r="I51" s="445"/>
      <c r="J51" s="445"/>
      <c r="K51" s="445"/>
      <c r="L51" s="445"/>
      <c r="M51" s="445"/>
      <c r="N51" s="445"/>
      <c r="O51" s="978"/>
      <c r="P51" s="446"/>
      <c r="Q51" s="446"/>
      <c r="R51" s="446"/>
      <c r="S51" s="446"/>
      <c r="T51" s="446"/>
      <c r="U51" s="446"/>
      <c r="V51" s="446"/>
      <c r="W51" s="447"/>
      <c r="X51" s="447"/>
      <c r="Y51" s="447"/>
      <c r="Z51" s="447"/>
      <c r="AA51" s="447"/>
    </row>
    <row r="52" spans="1:27" ht="31.5" x14ac:dyDescent="0.2">
      <c r="A52" s="974" t="s">
        <v>1017</v>
      </c>
      <c r="B52" s="975">
        <v>17.917000000000002</v>
      </c>
      <c r="C52" s="976">
        <v>19.71</v>
      </c>
      <c r="D52" s="976">
        <v>0</v>
      </c>
      <c r="E52" s="976">
        <v>4.0999999999999996</v>
      </c>
      <c r="F52" s="976">
        <v>8.08</v>
      </c>
      <c r="G52" s="976">
        <v>8.08</v>
      </c>
      <c r="H52" s="977">
        <v>4.0999999999999996</v>
      </c>
      <c r="I52" s="446">
        <f>'[12]Actuals apprd'!$F$95</f>
        <v>11.289322370000002</v>
      </c>
      <c r="J52" s="445"/>
      <c r="K52" s="445"/>
      <c r="L52" s="446">
        <f>'[12]Actuals apprd'!$K$95</f>
        <v>5.2546080000000002</v>
      </c>
      <c r="M52" s="446">
        <f>J52+L52</f>
        <v>5.2546080000000002</v>
      </c>
      <c r="N52" s="490">
        <f t="shared" si="23"/>
        <v>4.654493713425599</v>
      </c>
      <c r="O52" s="978">
        <f>C52-(C52*0.97%)</f>
        <v>19.518813000000002</v>
      </c>
      <c r="P52" s="446">
        <f>O52-I52</f>
        <v>8.229490629999999</v>
      </c>
      <c r="Q52" s="446"/>
      <c r="R52" s="446"/>
      <c r="S52" s="446"/>
      <c r="T52" s="446">
        <f>P52*N52/10</f>
        <v>3.8304112402029866</v>
      </c>
      <c r="U52" s="446">
        <f t="shared" si="27"/>
        <v>4.654493713425599</v>
      </c>
      <c r="V52" s="446">
        <f t="shared" si="7"/>
        <v>19.518813000000002</v>
      </c>
      <c r="W52" s="447">
        <f t="shared" si="7"/>
        <v>0</v>
      </c>
      <c r="X52" s="447"/>
      <c r="Y52" s="447">
        <f>M52+T52</f>
        <v>9.0850192402029872</v>
      </c>
      <c r="Z52" s="447">
        <f t="shared" si="8"/>
        <v>9.0850192402029872</v>
      </c>
      <c r="AA52" s="447">
        <f t="shared" si="9"/>
        <v>4.654493713425599</v>
      </c>
    </row>
    <row r="53" spans="1:27" ht="15.75" x14ac:dyDescent="0.2">
      <c r="A53" s="974" t="s">
        <v>1018</v>
      </c>
      <c r="B53" s="975">
        <v>17.917000000000002</v>
      </c>
      <c r="C53" s="976">
        <v>2.37</v>
      </c>
      <c r="D53" s="976">
        <v>0</v>
      </c>
      <c r="E53" s="976">
        <v>1.03</v>
      </c>
      <c r="F53" s="976">
        <v>0.24</v>
      </c>
      <c r="G53" s="976">
        <v>0.24</v>
      </c>
      <c r="H53" s="977">
        <v>1.03</v>
      </c>
      <c r="I53" s="446">
        <f>'[12]Actuals apprd'!$F$96</f>
        <v>3.1340201396000005</v>
      </c>
      <c r="J53" s="445"/>
      <c r="K53" s="445"/>
      <c r="L53" s="445"/>
      <c r="M53" s="445"/>
      <c r="N53" s="445"/>
      <c r="O53" s="978">
        <f>C53-(C53*0.97%)</f>
        <v>2.3470110000000002</v>
      </c>
      <c r="P53" s="446">
        <f>O53-I53</f>
        <v>-0.7870091396000003</v>
      </c>
      <c r="Q53" s="446"/>
      <c r="R53" s="446"/>
      <c r="S53" s="446"/>
      <c r="T53" s="446">
        <v>0.88</v>
      </c>
      <c r="U53" s="446">
        <f t="shared" si="27"/>
        <v>-11.181572814354642</v>
      </c>
      <c r="V53" s="446">
        <f t="shared" si="7"/>
        <v>2.3470110000000002</v>
      </c>
      <c r="W53" s="447">
        <f t="shared" si="7"/>
        <v>0</v>
      </c>
      <c r="X53" s="447"/>
      <c r="Y53" s="447">
        <v>0.88</v>
      </c>
      <c r="Z53" s="447">
        <f t="shared" si="8"/>
        <v>0.88</v>
      </c>
      <c r="AA53" s="447">
        <f t="shared" si="9"/>
        <v>3.7494498321482088</v>
      </c>
    </row>
    <row r="54" spans="1:27" ht="15.75" x14ac:dyDescent="0.2">
      <c r="A54" s="979" t="s">
        <v>1019</v>
      </c>
      <c r="B54" s="980"/>
      <c r="C54" s="981">
        <f>C52+C53</f>
        <v>22.080000000000002</v>
      </c>
      <c r="D54" s="981">
        <f>D52+D53</f>
        <v>0</v>
      </c>
      <c r="E54" s="980"/>
      <c r="F54" s="981">
        <v>8.33</v>
      </c>
      <c r="G54" s="981">
        <v>8.33</v>
      </c>
      <c r="H54" s="982">
        <v>3.77</v>
      </c>
      <c r="I54" s="983">
        <f>I52+I53</f>
        <v>14.423342509600003</v>
      </c>
      <c r="J54" s="445"/>
      <c r="K54" s="445"/>
      <c r="L54" s="983">
        <f>L52+L53</f>
        <v>5.2546080000000002</v>
      </c>
      <c r="M54" s="983">
        <f>M52+M53</f>
        <v>5.2546080000000002</v>
      </c>
      <c r="N54" s="490">
        <f t="shared" si="23"/>
        <v>3.6431277954486601</v>
      </c>
      <c r="O54" s="984">
        <f t="shared" ref="O54:T54" si="30">O52+O53</f>
        <v>21.865824000000003</v>
      </c>
      <c r="P54" s="983">
        <f t="shared" si="30"/>
        <v>7.4424814903999987</v>
      </c>
      <c r="Q54" s="983">
        <f t="shared" si="30"/>
        <v>0</v>
      </c>
      <c r="R54" s="983">
        <f t="shared" si="30"/>
        <v>0</v>
      </c>
      <c r="S54" s="983">
        <f t="shared" si="30"/>
        <v>0</v>
      </c>
      <c r="T54" s="983">
        <f t="shared" si="30"/>
        <v>4.710411240202987</v>
      </c>
      <c r="U54" s="446">
        <f t="shared" si="27"/>
        <v>6.3290869399929459</v>
      </c>
      <c r="V54" s="490">
        <f t="shared" si="7"/>
        <v>21.865824000000003</v>
      </c>
      <c r="W54" s="985">
        <f t="shared" si="7"/>
        <v>0</v>
      </c>
      <c r="X54" s="985"/>
      <c r="Y54" s="985">
        <f>Y52+Y53</f>
        <v>9.965019240202988</v>
      </c>
      <c r="Z54" s="985">
        <f t="shared" si="8"/>
        <v>9.965019240202988</v>
      </c>
      <c r="AA54" s="985">
        <f t="shared" si="9"/>
        <v>4.5573490576906623</v>
      </c>
    </row>
    <row r="55" spans="1:27" ht="15.75" x14ac:dyDescent="0.2">
      <c r="A55" s="974" t="s">
        <v>1020</v>
      </c>
      <c r="B55" s="986"/>
      <c r="C55" s="986"/>
      <c r="D55" s="976">
        <v>0</v>
      </c>
      <c r="E55" s="986"/>
      <c r="F55" s="976">
        <v>0</v>
      </c>
      <c r="G55" s="986"/>
      <c r="H55" s="987"/>
      <c r="I55" s="445"/>
      <c r="J55" s="445"/>
      <c r="K55" s="445"/>
      <c r="L55" s="445"/>
      <c r="M55" s="445"/>
      <c r="N55" s="445"/>
      <c r="O55" s="978"/>
      <c r="P55" s="446"/>
      <c r="Q55" s="446"/>
      <c r="R55" s="446"/>
      <c r="S55" s="446"/>
      <c r="T55" s="446"/>
      <c r="U55" s="446"/>
      <c r="V55" s="446"/>
      <c r="W55" s="447"/>
      <c r="X55" s="447"/>
      <c r="Y55" s="447"/>
      <c r="Z55" s="447"/>
      <c r="AA55" s="447"/>
    </row>
    <row r="56" spans="1:27" ht="15.75" x14ac:dyDescent="0.2">
      <c r="A56" s="974" t="s">
        <v>1021</v>
      </c>
      <c r="B56" s="986"/>
      <c r="C56" s="976">
        <v>2356.83</v>
      </c>
      <c r="D56" s="976">
        <v>0</v>
      </c>
      <c r="E56" s="976">
        <v>3.5</v>
      </c>
      <c r="F56" s="976">
        <v>824.89</v>
      </c>
      <c r="G56" s="976">
        <v>824.89</v>
      </c>
      <c r="H56" s="977">
        <v>3.5</v>
      </c>
      <c r="I56" s="446">
        <f>'[12]Actuals apprd'!$F$76</f>
        <v>2072.9956006500001</v>
      </c>
      <c r="J56" s="445"/>
      <c r="K56" s="445"/>
      <c r="L56" s="446">
        <f>'[12]Actuals apprd'!$N$76</f>
        <v>738.50127506249999</v>
      </c>
      <c r="M56" s="446">
        <f t="shared" ref="M56:M64" si="31">J56+L56</f>
        <v>738.50127506249999</v>
      </c>
      <c r="N56" s="490">
        <f t="shared" ref="N56:N68" si="32">M56/I56*10</f>
        <v>3.5624835616194197</v>
      </c>
      <c r="O56" s="978">
        <v>2501</v>
      </c>
      <c r="P56" s="446">
        <f>O56-I56</f>
        <v>428.00439934999986</v>
      </c>
      <c r="Q56" s="446"/>
      <c r="R56" s="446"/>
      <c r="S56" s="446"/>
      <c r="T56" s="446">
        <f>P56*N56/10</f>
        <v>152.47586369851678</v>
      </c>
      <c r="U56" s="446">
        <f t="shared" si="27"/>
        <v>3.5624835616194197</v>
      </c>
      <c r="V56" s="446">
        <f t="shared" si="7"/>
        <v>2501</v>
      </c>
      <c r="W56" s="447">
        <f t="shared" si="7"/>
        <v>0</v>
      </c>
      <c r="X56" s="447"/>
      <c r="Y56" s="447">
        <f>M56+T56</f>
        <v>890.9771387610167</v>
      </c>
      <c r="Z56" s="447">
        <f t="shared" si="8"/>
        <v>890.9771387610167</v>
      </c>
      <c r="AA56" s="447">
        <f t="shared" si="9"/>
        <v>3.5624835616194188</v>
      </c>
    </row>
    <row r="57" spans="1:27" ht="15.75" x14ac:dyDescent="0.2">
      <c r="A57" s="974" t="s">
        <v>1022</v>
      </c>
      <c r="B57" s="986"/>
      <c r="C57" s="976">
        <v>7.76</v>
      </c>
      <c r="D57" s="976">
        <v>0</v>
      </c>
      <c r="E57" s="976">
        <v>3.49</v>
      </c>
      <c r="F57" s="976">
        <v>2.71</v>
      </c>
      <c r="G57" s="976">
        <v>2.71</v>
      </c>
      <c r="H57" s="977">
        <v>3.49</v>
      </c>
      <c r="I57" s="446">
        <f>'[12]Actuals apprd'!$F$77</f>
        <v>3.1320299999999999</v>
      </c>
      <c r="J57" s="445"/>
      <c r="K57" s="445"/>
      <c r="L57" s="446">
        <f>'[12]Actuals apprd'!$N$77</f>
        <v>1.2055971999999999</v>
      </c>
      <c r="M57" s="446">
        <f t="shared" si="31"/>
        <v>1.2055971999999999</v>
      </c>
      <c r="N57" s="490">
        <f t="shared" si="32"/>
        <v>3.84925176323343</v>
      </c>
      <c r="O57" s="978">
        <f>C57-(C57*0.97%)</f>
        <v>7.6847279999999998</v>
      </c>
      <c r="P57" s="446">
        <f>O57-I57</f>
        <v>4.5526979999999995</v>
      </c>
      <c r="Q57" s="446"/>
      <c r="R57" s="446"/>
      <c r="S57" s="446"/>
      <c r="T57" s="446">
        <f>P57*N57/10</f>
        <v>1.7524480803969307</v>
      </c>
      <c r="U57" s="446">
        <f t="shared" si="27"/>
        <v>3.8492517632334295</v>
      </c>
      <c r="V57" s="446">
        <f t="shared" si="7"/>
        <v>7.6847279999999998</v>
      </c>
      <c r="W57" s="447">
        <f t="shared" si="7"/>
        <v>0</v>
      </c>
      <c r="X57" s="447"/>
      <c r="Y57" s="447">
        <f t="shared" ref="Y57:Y64" si="33">M57+T57</f>
        <v>2.9580452803969308</v>
      </c>
      <c r="Z57" s="447">
        <f t="shared" si="8"/>
        <v>2.9580452803969308</v>
      </c>
      <c r="AA57" s="447">
        <f t="shared" si="9"/>
        <v>3.84925176323343</v>
      </c>
    </row>
    <row r="58" spans="1:27" ht="15.75" x14ac:dyDescent="0.2">
      <c r="A58" s="974" t="s">
        <v>1023</v>
      </c>
      <c r="B58" s="986"/>
      <c r="C58" s="976">
        <v>290.70999999999998</v>
      </c>
      <c r="D58" s="976">
        <v>0</v>
      </c>
      <c r="E58" s="976">
        <v>3.28</v>
      </c>
      <c r="F58" s="976">
        <v>95.39</v>
      </c>
      <c r="G58" s="976">
        <v>95.39</v>
      </c>
      <c r="H58" s="977">
        <v>3.28</v>
      </c>
      <c r="I58" s="446">
        <f>'[12]Actuals apprd'!$F$75</f>
        <v>297.87815135</v>
      </c>
      <c r="J58" s="445"/>
      <c r="K58" s="445"/>
      <c r="L58" s="446">
        <f>'[12]Actuals apprd'!$N$75</f>
        <v>94.461759799999996</v>
      </c>
      <c r="M58" s="446">
        <f t="shared" si="31"/>
        <v>94.461759799999996</v>
      </c>
      <c r="N58" s="490">
        <f t="shared" si="32"/>
        <v>3.1711543586494733</v>
      </c>
      <c r="O58" s="978">
        <v>342</v>
      </c>
      <c r="P58" s="446">
        <f>O58-I58</f>
        <v>44.121848650000004</v>
      </c>
      <c r="Q58" s="446"/>
      <c r="R58" s="446"/>
      <c r="S58" s="446"/>
      <c r="T58" s="446">
        <f>P58*N58/10</f>
        <v>13.991719265811989</v>
      </c>
      <c r="U58" s="446">
        <f t="shared" si="27"/>
        <v>3.1711543586494733</v>
      </c>
      <c r="V58" s="446">
        <f t="shared" si="7"/>
        <v>342</v>
      </c>
      <c r="W58" s="447">
        <f t="shared" si="7"/>
        <v>0</v>
      </c>
      <c r="X58" s="447"/>
      <c r="Y58" s="447">
        <f t="shared" si="33"/>
        <v>108.45347906581199</v>
      </c>
      <c r="Z58" s="447">
        <f t="shared" si="8"/>
        <v>108.45347906581199</v>
      </c>
      <c r="AA58" s="447">
        <f t="shared" si="9"/>
        <v>3.1711543586494733</v>
      </c>
    </row>
    <row r="59" spans="1:27" ht="15.75" x14ac:dyDescent="0.2">
      <c r="A59" s="974" t="s">
        <v>1024</v>
      </c>
      <c r="B59" s="986"/>
      <c r="C59" s="986"/>
      <c r="D59" s="976">
        <v>0</v>
      </c>
      <c r="E59" s="976">
        <v>4.3600000000000003</v>
      </c>
      <c r="F59" s="976">
        <v>0</v>
      </c>
      <c r="G59" s="986"/>
      <c r="H59" s="987"/>
      <c r="I59" s="446"/>
      <c r="J59" s="445"/>
      <c r="K59" s="445"/>
      <c r="L59" s="446"/>
      <c r="M59" s="446">
        <f t="shared" si="31"/>
        <v>0</v>
      </c>
      <c r="N59" s="490"/>
      <c r="O59" s="992"/>
      <c r="P59" s="446"/>
      <c r="Q59" s="446"/>
      <c r="R59" s="446"/>
      <c r="S59" s="446"/>
      <c r="T59" s="446"/>
      <c r="U59" s="446"/>
      <c r="V59" s="446">
        <f t="shared" si="7"/>
        <v>0</v>
      </c>
      <c r="W59" s="447">
        <f t="shared" si="7"/>
        <v>0</v>
      </c>
      <c r="X59" s="447"/>
      <c r="Y59" s="447">
        <f t="shared" si="33"/>
        <v>0</v>
      </c>
      <c r="Z59" s="447">
        <f t="shared" si="8"/>
        <v>0</v>
      </c>
      <c r="AA59" s="447"/>
    </row>
    <row r="60" spans="1:27" ht="15.75" x14ac:dyDescent="0.2">
      <c r="A60" s="974" t="s">
        <v>1025</v>
      </c>
      <c r="B60" s="986"/>
      <c r="C60" s="986"/>
      <c r="D60" s="976">
        <v>0</v>
      </c>
      <c r="E60" s="976">
        <v>3.56</v>
      </c>
      <c r="F60" s="976">
        <v>0</v>
      </c>
      <c r="G60" s="986"/>
      <c r="H60" s="987"/>
      <c r="I60" s="445"/>
      <c r="J60" s="445"/>
      <c r="K60" s="445"/>
      <c r="L60" s="445"/>
      <c r="M60" s="446">
        <f t="shared" si="31"/>
        <v>0</v>
      </c>
      <c r="N60" s="490"/>
      <c r="O60" s="992"/>
      <c r="P60" s="446"/>
      <c r="Q60" s="446"/>
      <c r="R60" s="446"/>
      <c r="S60" s="446"/>
      <c r="T60" s="446"/>
      <c r="U60" s="446"/>
      <c r="V60" s="446">
        <f t="shared" si="7"/>
        <v>0</v>
      </c>
      <c r="W60" s="447">
        <f t="shared" si="7"/>
        <v>0</v>
      </c>
      <c r="X60" s="447"/>
      <c r="Y60" s="447">
        <f t="shared" si="33"/>
        <v>0</v>
      </c>
      <c r="Z60" s="447">
        <f t="shared" si="8"/>
        <v>0</v>
      </c>
      <c r="AA60" s="447"/>
    </row>
    <row r="61" spans="1:27" ht="15.75" x14ac:dyDescent="0.2">
      <c r="A61" s="974" t="s">
        <v>1026</v>
      </c>
      <c r="B61" s="986"/>
      <c r="C61" s="976">
        <v>64.62</v>
      </c>
      <c r="D61" s="976">
        <v>0</v>
      </c>
      <c r="E61" s="976">
        <v>4.93</v>
      </c>
      <c r="F61" s="976">
        <v>31.84</v>
      </c>
      <c r="G61" s="976">
        <v>31.84</v>
      </c>
      <c r="H61" s="977">
        <v>4.93</v>
      </c>
      <c r="I61" s="446">
        <f>'[12]Actuals apprd'!$F$74</f>
        <v>32.54175</v>
      </c>
      <c r="J61" s="445"/>
      <c r="K61" s="445"/>
      <c r="L61" s="446">
        <f>'[12]Actuals apprd'!$M$74</f>
        <v>17.933350300000001</v>
      </c>
      <c r="M61" s="446">
        <f t="shared" si="31"/>
        <v>17.933350300000001</v>
      </c>
      <c r="N61" s="490">
        <f t="shared" si="32"/>
        <v>5.5108745841880049</v>
      </c>
      <c r="O61" s="978">
        <f>C61-(C61*0.97%)</f>
        <v>63.993186000000001</v>
      </c>
      <c r="P61" s="446">
        <f>O61-I61</f>
        <v>31.451436000000001</v>
      </c>
      <c r="Q61" s="446"/>
      <c r="R61" s="446"/>
      <c r="S61" s="446"/>
      <c r="T61" s="446">
        <f>P61*N61/10</f>
        <v>17.332491928861565</v>
      </c>
      <c r="U61" s="446">
        <f t="shared" si="27"/>
        <v>5.5108745841880049</v>
      </c>
      <c r="V61" s="446">
        <f t="shared" si="7"/>
        <v>63.993186000000001</v>
      </c>
      <c r="W61" s="447">
        <f t="shared" si="7"/>
        <v>0</v>
      </c>
      <c r="X61" s="447"/>
      <c r="Y61" s="447">
        <f t="shared" si="33"/>
        <v>35.265842228861565</v>
      </c>
      <c r="Z61" s="447">
        <f t="shared" si="8"/>
        <v>35.265842228861565</v>
      </c>
      <c r="AA61" s="447">
        <f t="shared" si="9"/>
        <v>5.5108745841880049</v>
      </c>
    </row>
    <row r="62" spans="1:27" ht="15.75" x14ac:dyDescent="0.2">
      <c r="A62" s="974" t="s">
        <v>1027</v>
      </c>
      <c r="B62" s="986"/>
      <c r="C62" s="976">
        <v>1583.82</v>
      </c>
      <c r="D62" s="976">
        <v>0</v>
      </c>
      <c r="E62" s="976">
        <v>5.6</v>
      </c>
      <c r="F62" s="976">
        <v>886.94</v>
      </c>
      <c r="G62" s="976">
        <v>886.94</v>
      </c>
      <c r="H62" s="977">
        <v>5.6</v>
      </c>
      <c r="I62" s="446">
        <f>'[12]Actuals apprd'!$F$79</f>
        <v>1076.7636337500001</v>
      </c>
      <c r="J62" s="445"/>
      <c r="K62" s="445"/>
      <c r="L62" s="446">
        <f>'[12]Actuals apprd'!$M$79</f>
        <v>511.3982740970003</v>
      </c>
      <c r="M62" s="446">
        <f t="shared" si="31"/>
        <v>511.3982740970003</v>
      </c>
      <c r="N62" s="490">
        <f t="shared" si="32"/>
        <v>4.7494014291323596</v>
      </c>
      <c r="O62" s="978">
        <f>C62-(C62*0.97%)</f>
        <v>1568.456946</v>
      </c>
      <c r="P62" s="446">
        <v>850</v>
      </c>
      <c r="Q62" s="446"/>
      <c r="R62" s="446"/>
      <c r="S62" s="446"/>
      <c r="T62" s="446">
        <f>P62*N62/10</f>
        <v>403.69912147625053</v>
      </c>
      <c r="U62" s="446">
        <f t="shared" si="27"/>
        <v>4.7494014291323587</v>
      </c>
      <c r="V62" s="446">
        <f t="shared" si="7"/>
        <v>1926.7636337500001</v>
      </c>
      <c r="W62" s="447">
        <f t="shared" si="7"/>
        <v>0</v>
      </c>
      <c r="X62" s="447"/>
      <c r="Y62" s="447">
        <f t="shared" si="33"/>
        <v>915.09739557325088</v>
      </c>
      <c r="Z62" s="447">
        <f t="shared" si="8"/>
        <v>915.09739557325088</v>
      </c>
      <c r="AA62" s="447">
        <f t="shared" si="9"/>
        <v>4.7494014291323596</v>
      </c>
    </row>
    <row r="63" spans="1:27" ht="15.75" x14ac:dyDescent="0.2">
      <c r="A63" s="974" t="s">
        <v>1028</v>
      </c>
      <c r="B63" s="975">
        <v>46.39</v>
      </c>
      <c r="C63" s="976">
        <v>463.27</v>
      </c>
      <c r="D63" s="976">
        <v>0</v>
      </c>
      <c r="E63" s="976">
        <v>4.8</v>
      </c>
      <c r="F63" s="976">
        <v>222.37</v>
      </c>
      <c r="G63" s="976">
        <v>222.37</v>
      </c>
      <c r="H63" s="977">
        <v>4.8</v>
      </c>
      <c r="I63" s="445"/>
      <c r="J63" s="445"/>
      <c r="K63" s="445"/>
      <c r="L63" s="445"/>
      <c r="M63" s="446"/>
      <c r="N63" s="490"/>
      <c r="O63" s="992"/>
      <c r="P63" s="446"/>
      <c r="Q63" s="446"/>
      <c r="R63" s="446"/>
      <c r="S63" s="446"/>
      <c r="T63" s="446"/>
      <c r="U63" s="446"/>
      <c r="V63" s="446">
        <f t="shared" si="7"/>
        <v>0</v>
      </c>
      <c r="W63" s="447">
        <f t="shared" si="7"/>
        <v>0</v>
      </c>
      <c r="X63" s="447"/>
      <c r="Y63" s="447">
        <f>L63+S63</f>
        <v>0</v>
      </c>
      <c r="Z63" s="447">
        <f t="shared" si="8"/>
        <v>0</v>
      </c>
      <c r="AA63" s="447"/>
    </row>
    <row r="64" spans="1:27" ht="31.5" x14ac:dyDescent="0.2">
      <c r="A64" s="974" t="s">
        <v>1029</v>
      </c>
      <c r="B64" s="986"/>
      <c r="C64" s="976">
        <v>4.1500000000000004</v>
      </c>
      <c r="D64" s="976">
        <v>0</v>
      </c>
      <c r="E64" s="976">
        <v>6.18</v>
      </c>
      <c r="F64" s="976">
        <v>2.57</v>
      </c>
      <c r="G64" s="976">
        <v>2.57</v>
      </c>
      <c r="H64" s="977">
        <v>6.18</v>
      </c>
      <c r="I64" s="446">
        <f>'[12]Actuals apprd'!$F$78</f>
        <v>1.4610399999999999</v>
      </c>
      <c r="J64" s="445"/>
      <c r="K64" s="445"/>
      <c r="L64" s="446">
        <f>'[12]Actuals apprd'!$N$78</f>
        <v>0.87662399999999996</v>
      </c>
      <c r="M64" s="446">
        <f t="shared" si="31"/>
        <v>0.87662399999999996</v>
      </c>
      <c r="N64" s="490">
        <f t="shared" si="32"/>
        <v>6</v>
      </c>
      <c r="O64" s="978">
        <f>C64-(C64*0.97%)</f>
        <v>4.1097450000000002</v>
      </c>
      <c r="P64" s="446">
        <f>O64-I64</f>
        <v>2.6487050000000005</v>
      </c>
      <c r="Q64" s="446"/>
      <c r="R64" s="446"/>
      <c r="S64" s="446"/>
      <c r="T64" s="446">
        <f>P64*N64/10</f>
        <v>1.5892230000000003</v>
      </c>
      <c r="U64" s="446">
        <f t="shared" si="27"/>
        <v>6</v>
      </c>
      <c r="V64" s="446">
        <f t="shared" si="7"/>
        <v>4.1097450000000002</v>
      </c>
      <c r="W64" s="447">
        <f t="shared" si="7"/>
        <v>0</v>
      </c>
      <c r="X64" s="447"/>
      <c r="Y64" s="447">
        <f t="shared" si="33"/>
        <v>2.4658470000000001</v>
      </c>
      <c r="Z64" s="447">
        <f t="shared" si="8"/>
        <v>2.4658470000000001</v>
      </c>
      <c r="AA64" s="447">
        <f t="shared" si="9"/>
        <v>6</v>
      </c>
    </row>
    <row r="65" spans="1:27" ht="15.75" x14ac:dyDescent="0.2">
      <c r="A65" s="979" t="s">
        <v>1030</v>
      </c>
      <c r="B65" s="980"/>
      <c r="C65" s="981">
        <f>SUM(C56:C64)</f>
        <v>4771.16</v>
      </c>
      <c r="D65" s="981">
        <v>0</v>
      </c>
      <c r="E65" s="980"/>
      <c r="F65" s="981">
        <f>SUM(F56:F64)</f>
        <v>2066.71</v>
      </c>
      <c r="G65" s="981">
        <f>SUM(G56:G64)</f>
        <v>2066.71</v>
      </c>
      <c r="H65" s="982">
        <v>4.33</v>
      </c>
      <c r="I65" s="983">
        <f>SUM(I56:I64)</f>
        <v>3484.7722057500005</v>
      </c>
      <c r="J65" s="445"/>
      <c r="K65" s="445"/>
      <c r="L65" s="983">
        <f>SUM(L56:L64)</f>
        <v>1364.3768804595004</v>
      </c>
      <c r="M65" s="983">
        <f>SUM(M56:M64)</f>
        <v>1364.3768804595004</v>
      </c>
      <c r="N65" s="490">
        <f t="shared" si="32"/>
        <v>3.9152541397346692</v>
      </c>
      <c r="O65" s="984">
        <f t="shared" ref="O65:T65" si="34">SUM(O56:O64)</f>
        <v>4487.2446049999999</v>
      </c>
      <c r="P65" s="983">
        <f t="shared" si="34"/>
        <v>1360.7790869999999</v>
      </c>
      <c r="Q65" s="983">
        <f t="shared" si="34"/>
        <v>0</v>
      </c>
      <c r="R65" s="983">
        <f t="shared" si="34"/>
        <v>0</v>
      </c>
      <c r="S65" s="983">
        <f t="shared" si="34"/>
        <v>0</v>
      </c>
      <c r="T65" s="983">
        <f t="shared" si="34"/>
        <v>590.84086744983779</v>
      </c>
      <c r="U65" s="490">
        <f t="shared" si="27"/>
        <v>4.3419308328173765</v>
      </c>
      <c r="V65" s="490">
        <f t="shared" si="7"/>
        <v>4845.5512927500004</v>
      </c>
      <c r="W65" s="985">
        <f t="shared" si="7"/>
        <v>0</v>
      </c>
      <c r="X65" s="985"/>
      <c r="Y65" s="983">
        <f>SUM(Y56:Y64)</f>
        <v>1955.217747909338</v>
      </c>
      <c r="Z65" s="985">
        <f t="shared" si="8"/>
        <v>1955.217747909338</v>
      </c>
      <c r="AA65" s="985">
        <f t="shared" si="9"/>
        <v>4.0350780123507706</v>
      </c>
    </row>
    <row r="66" spans="1:27" ht="15.75" x14ac:dyDescent="0.2">
      <c r="A66" s="974" t="s">
        <v>1031</v>
      </c>
      <c r="B66" s="975">
        <v>46.643000000000001</v>
      </c>
      <c r="C66" s="976">
        <v>1272.3</v>
      </c>
      <c r="D66" s="976">
        <v>0</v>
      </c>
      <c r="E66" s="976">
        <v>3.32</v>
      </c>
      <c r="F66" s="976">
        <v>422.25</v>
      </c>
      <c r="G66" s="976">
        <v>422.25</v>
      </c>
      <c r="H66" s="977">
        <v>3.32</v>
      </c>
      <c r="I66" s="446">
        <f>'[12]Actuals apprd'!$F$81+'[12]Actuals apprd'!$F$60+'[12]Actuals apprd'!$F$61</f>
        <v>898.20795609799984</v>
      </c>
      <c r="J66" s="445"/>
      <c r="K66" s="445"/>
      <c r="L66" s="446">
        <f>'[12]Actuals apprd'!$N$60+'[12]Actuals apprd'!$N$61+'[12]Actuals apprd'!$N$81</f>
        <v>347.47548327999999</v>
      </c>
      <c r="M66" s="446">
        <f>J66+L66</f>
        <v>347.47548327999999</v>
      </c>
      <c r="N66" s="490">
        <f t="shared" si="32"/>
        <v>3.8685415879581493</v>
      </c>
      <c r="O66" s="978">
        <v>1788</v>
      </c>
      <c r="P66" s="446">
        <v>890</v>
      </c>
      <c r="Q66" s="446"/>
      <c r="R66" s="446"/>
      <c r="S66" s="446"/>
      <c r="T66" s="446">
        <f>P66*N66/10</f>
        <v>344.30020132827531</v>
      </c>
      <c r="U66" s="446">
        <f t="shared" si="27"/>
        <v>3.8685415879581497</v>
      </c>
      <c r="V66" s="446">
        <f t="shared" si="7"/>
        <v>1788.2079560979998</v>
      </c>
      <c r="W66" s="447">
        <f t="shared" si="7"/>
        <v>0</v>
      </c>
      <c r="X66" s="447"/>
      <c r="Y66" s="447">
        <f>L66+T66</f>
        <v>691.77568460827524</v>
      </c>
      <c r="Z66" s="447">
        <f t="shared" si="8"/>
        <v>691.77568460827524</v>
      </c>
      <c r="AA66" s="447">
        <f t="shared" si="9"/>
        <v>3.8685415879581493</v>
      </c>
    </row>
    <row r="67" spans="1:27" ht="15.75" x14ac:dyDescent="0.2">
      <c r="A67" s="974" t="s">
        <v>1032</v>
      </c>
      <c r="B67" s="975">
        <v>47.787999999999997</v>
      </c>
      <c r="C67" s="976">
        <v>463.94</v>
      </c>
      <c r="D67" s="976">
        <v>0</v>
      </c>
      <c r="E67" s="976">
        <v>4.82</v>
      </c>
      <c r="F67" s="976">
        <v>223.81</v>
      </c>
      <c r="G67" s="976">
        <v>223.81</v>
      </c>
      <c r="H67" s="977">
        <v>4.82</v>
      </c>
      <c r="I67" s="446">
        <f>'[12]Actuals apprd'!$F$73</f>
        <v>84.349705689999993</v>
      </c>
      <c r="J67" s="445"/>
      <c r="K67" s="445"/>
      <c r="L67" s="446">
        <f>'[12]Actuals apprd'!$N$73</f>
        <v>39.553691299999997</v>
      </c>
      <c r="M67" s="446">
        <f>J67+L67</f>
        <v>39.553691299999997</v>
      </c>
      <c r="N67" s="490">
        <f t="shared" si="32"/>
        <v>4.6892506590795673</v>
      </c>
      <c r="O67" s="978">
        <f>C67-(C67*0.97%)</f>
        <v>459.43978199999998</v>
      </c>
      <c r="P67" s="446">
        <f>O67-I67</f>
        <v>375.09007630999997</v>
      </c>
      <c r="Q67" s="446"/>
      <c r="R67" s="446"/>
      <c r="S67" s="446"/>
      <c r="T67" s="446">
        <f>P67*N67/10</f>
        <v>175.88913875508726</v>
      </c>
      <c r="U67" s="446">
        <f t="shared" si="27"/>
        <v>4.6892506590795673</v>
      </c>
      <c r="V67" s="446">
        <f t="shared" si="7"/>
        <v>459.43978199999998</v>
      </c>
      <c r="W67" s="447">
        <f t="shared" si="7"/>
        <v>0</v>
      </c>
      <c r="X67" s="447"/>
      <c r="Y67" s="447">
        <f>L67+T67</f>
        <v>215.44283005508726</v>
      </c>
      <c r="Z67" s="447">
        <f t="shared" si="8"/>
        <v>215.44283005508726</v>
      </c>
      <c r="AA67" s="447">
        <f t="shared" si="9"/>
        <v>4.6892506590795673</v>
      </c>
    </row>
    <row r="68" spans="1:27" ht="15.75" x14ac:dyDescent="0.2">
      <c r="A68" s="974" t="s">
        <v>1033</v>
      </c>
      <c r="B68" s="975">
        <v>50</v>
      </c>
      <c r="C68" s="976">
        <v>494.1</v>
      </c>
      <c r="D68" s="976">
        <v>0</v>
      </c>
      <c r="E68" s="976">
        <v>4.08</v>
      </c>
      <c r="F68" s="976">
        <v>201.59</v>
      </c>
      <c r="G68" s="976">
        <v>201.59</v>
      </c>
      <c r="H68" s="977">
        <v>4.08</v>
      </c>
      <c r="I68" s="446">
        <f>'[12]Actuals apprd'!$F$101</f>
        <v>482.91697399999998</v>
      </c>
      <c r="J68" s="445"/>
      <c r="K68" s="445"/>
      <c r="L68" s="445"/>
      <c r="M68" s="446">
        <f>'[12]Actuals apprd'!$N$101</f>
        <v>197.02962719999999</v>
      </c>
      <c r="N68" s="995">
        <f t="shared" si="32"/>
        <v>4.0799896836925011</v>
      </c>
      <c r="O68" s="978"/>
      <c r="P68" s="446"/>
      <c r="Q68" s="446"/>
      <c r="R68" s="446"/>
      <c r="S68" s="446"/>
      <c r="T68" s="446">
        <f>P68*N68/10</f>
        <v>0</v>
      </c>
      <c r="U68" s="446"/>
      <c r="V68" s="446">
        <f t="shared" si="7"/>
        <v>482.91697399999998</v>
      </c>
      <c r="W68" s="447">
        <f t="shared" si="7"/>
        <v>0</v>
      </c>
      <c r="X68" s="447"/>
      <c r="Y68" s="447">
        <f>M68+S68</f>
        <v>197.02962719999999</v>
      </c>
      <c r="Z68" s="447">
        <f t="shared" si="8"/>
        <v>197.02962719999999</v>
      </c>
      <c r="AA68" s="447">
        <f t="shared" si="9"/>
        <v>4.0799896836925011</v>
      </c>
    </row>
    <row r="69" spans="1:27" ht="15.75" x14ac:dyDescent="0.2">
      <c r="A69" s="974" t="s">
        <v>1034</v>
      </c>
      <c r="B69" s="986"/>
      <c r="C69" s="986"/>
      <c r="D69" s="976"/>
      <c r="E69" s="986"/>
      <c r="F69" s="976"/>
      <c r="G69" s="986"/>
      <c r="H69" s="987"/>
      <c r="I69" s="445"/>
      <c r="J69" s="445"/>
      <c r="K69" s="445"/>
      <c r="L69" s="445"/>
      <c r="M69" s="445"/>
      <c r="N69" s="445"/>
      <c r="O69" s="978"/>
      <c r="P69" s="446"/>
      <c r="Q69" s="446"/>
      <c r="R69" s="446"/>
      <c r="S69" s="446"/>
      <c r="T69" s="446"/>
      <c r="U69" s="446"/>
      <c r="V69" s="446"/>
      <c r="W69" s="447"/>
      <c r="X69" s="447"/>
      <c r="Y69" s="447"/>
      <c r="Z69" s="447"/>
      <c r="AA69" s="447"/>
    </row>
    <row r="70" spans="1:27" ht="15.75" x14ac:dyDescent="0.2">
      <c r="A70" s="974" t="s">
        <v>1035</v>
      </c>
      <c r="B70" s="986"/>
      <c r="C70" s="986"/>
      <c r="D70" s="976">
        <v>758.7</v>
      </c>
      <c r="E70" s="986"/>
      <c r="F70" s="976">
        <v>0</v>
      </c>
      <c r="G70" s="976">
        <v>758.7</v>
      </c>
      <c r="H70" s="987"/>
      <c r="I70" s="445"/>
      <c r="J70" s="445"/>
      <c r="K70" s="445"/>
      <c r="L70" s="445"/>
      <c r="M70" s="446">
        <f>'[12]Actuals apprd'!$N$59</f>
        <v>485.69514090000001</v>
      </c>
      <c r="N70" s="445"/>
      <c r="O70" s="978"/>
      <c r="P70" s="446"/>
      <c r="Q70" s="446"/>
      <c r="R70" s="446"/>
      <c r="S70" s="446"/>
      <c r="T70" s="446">
        <f>90*6</f>
        <v>540</v>
      </c>
      <c r="U70" s="446"/>
      <c r="V70" s="446">
        <f t="shared" si="7"/>
        <v>0</v>
      </c>
      <c r="W70" s="447">
        <f t="shared" si="7"/>
        <v>0</v>
      </c>
      <c r="X70" s="447"/>
      <c r="Y70" s="447"/>
      <c r="Z70" s="447">
        <f>M70+T70</f>
        <v>1025.6951409000001</v>
      </c>
      <c r="AA70" s="447"/>
    </row>
    <row r="71" spans="1:27" ht="15.75" x14ac:dyDescent="0.2">
      <c r="A71" s="974" t="s">
        <v>1036</v>
      </c>
      <c r="B71" s="986"/>
      <c r="C71" s="986"/>
      <c r="D71" s="976">
        <v>1528.66</v>
      </c>
      <c r="E71" s="986"/>
      <c r="F71" s="976">
        <v>0</v>
      </c>
      <c r="G71" s="976">
        <v>1528.66</v>
      </c>
      <c r="H71" s="987"/>
      <c r="I71" s="445"/>
      <c r="J71" s="445"/>
      <c r="K71" s="445"/>
      <c r="L71" s="445"/>
      <c r="M71" s="446">
        <f>'[12]Actuals apprd'!$N$107</f>
        <v>764.3299968</v>
      </c>
      <c r="N71" s="445"/>
      <c r="O71" s="978"/>
      <c r="P71" s="446"/>
      <c r="Q71" s="446"/>
      <c r="R71" s="446"/>
      <c r="S71" s="446"/>
      <c r="T71" s="446">
        <f>G71-M71</f>
        <v>764.33000320000008</v>
      </c>
      <c r="U71" s="446"/>
      <c r="V71" s="446">
        <f t="shared" ref="V71:W75" si="35">I71+P71</f>
        <v>0</v>
      </c>
      <c r="W71" s="447">
        <f t="shared" si="35"/>
        <v>0</v>
      </c>
      <c r="X71" s="447"/>
      <c r="Y71" s="447"/>
      <c r="Z71" s="447">
        <f>M71+T71</f>
        <v>1528.66</v>
      </c>
      <c r="AA71" s="447"/>
    </row>
    <row r="72" spans="1:27" ht="15.75" x14ac:dyDescent="0.2">
      <c r="A72" s="974" t="s">
        <v>1037</v>
      </c>
      <c r="B72" s="986"/>
      <c r="C72" s="986"/>
      <c r="D72" s="976">
        <v>15.03</v>
      </c>
      <c r="E72" s="986"/>
      <c r="F72" s="976">
        <v>0</v>
      </c>
      <c r="G72" s="976">
        <v>15.03</v>
      </c>
      <c r="H72" s="987"/>
      <c r="I72" s="445"/>
      <c r="J72" s="445"/>
      <c r="K72" s="445"/>
      <c r="L72" s="445"/>
      <c r="M72" s="446">
        <f>'[12]Actuals apprd'!$N$108</f>
        <v>7.5149999999999997</v>
      </c>
      <c r="N72" s="445"/>
      <c r="O72" s="978"/>
      <c r="P72" s="446"/>
      <c r="Q72" s="446"/>
      <c r="R72" s="446"/>
      <c r="S72" s="446"/>
      <c r="T72" s="446">
        <f>G72-M72</f>
        <v>7.5149999999999997</v>
      </c>
      <c r="U72" s="446"/>
      <c r="V72" s="446">
        <f t="shared" si="35"/>
        <v>0</v>
      </c>
      <c r="W72" s="447">
        <f t="shared" si="35"/>
        <v>0</v>
      </c>
      <c r="X72" s="447"/>
      <c r="Y72" s="447"/>
      <c r="Z72" s="447">
        <f>M72+T72</f>
        <v>15.03</v>
      </c>
      <c r="AA72" s="447"/>
    </row>
    <row r="73" spans="1:27" ht="15.75" x14ac:dyDescent="0.2">
      <c r="A73" s="970" t="s">
        <v>1038</v>
      </c>
      <c r="B73" s="986"/>
      <c r="C73" s="986"/>
      <c r="D73" s="976">
        <v>1.08</v>
      </c>
      <c r="E73" s="986"/>
      <c r="F73" s="976">
        <v>0</v>
      </c>
      <c r="G73" s="976">
        <v>1.08</v>
      </c>
      <c r="H73" s="987"/>
      <c r="I73" s="445"/>
      <c r="J73" s="445"/>
      <c r="K73" s="445"/>
      <c r="L73" s="445"/>
      <c r="M73" s="446">
        <f>'[12]Actuals apprd'!$N$113+'[12]Actuals apprd'!$N$109</f>
        <v>1.6792</v>
      </c>
      <c r="N73" s="445"/>
      <c r="O73" s="978"/>
      <c r="P73" s="446"/>
      <c r="Q73" s="446"/>
      <c r="R73" s="446"/>
      <c r="S73" s="446"/>
      <c r="T73" s="446">
        <v>1.68</v>
      </c>
      <c r="U73" s="446"/>
      <c r="V73" s="446">
        <f t="shared" si="35"/>
        <v>0</v>
      </c>
      <c r="W73" s="447">
        <f t="shared" si="35"/>
        <v>0</v>
      </c>
      <c r="X73" s="447"/>
      <c r="Y73" s="447"/>
      <c r="Z73" s="447">
        <f>M73+T73</f>
        <v>3.3592</v>
      </c>
      <c r="AA73" s="447"/>
    </row>
    <row r="74" spans="1:27" ht="15.75" x14ac:dyDescent="0.2">
      <c r="A74" s="970" t="s">
        <v>1039</v>
      </c>
      <c r="B74" s="986"/>
      <c r="C74" s="986"/>
      <c r="D74" s="976"/>
      <c r="E74" s="986"/>
      <c r="F74" s="976"/>
      <c r="G74" s="976"/>
      <c r="H74" s="987"/>
      <c r="I74" s="446">
        <f>'[12]Actuals apprd'!$F$110</f>
        <v>795.01</v>
      </c>
      <c r="J74" s="445"/>
      <c r="K74" s="445"/>
      <c r="L74" s="445"/>
      <c r="M74" s="446">
        <f>'[12]Actuals apprd'!$N$110</f>
        <v>280.02999999999997</v>
      </c>
      <c r="N74" s="445"/>
      <c r="O74" s="978"/>
      <c r="P74" s="446">
        <f>-600-129.64-158.31</f>
        <v>-887.95</v>
      </c>
      <c r="Q74" s="446"/>
      <c r="R74" s="446"/>
      <c r="S74" s="446"/>
      <c r="T74" s="446">
        <f>P74*4.81/10</f>
        <v>-427.10395</v>
      </c>
      <c r="U74" s="446"/>
      <c r="V74" s="446">
        <f t="shared" si="35"/>
        <v>-92.940000000000055</v>
      </c>
      <c r="W74" s="447">
        <f t="shared" si="35"/>
        <v>0</v>
      </c>
      <c r="X74" s="447"/>
      <c r="Y74" s="447"/>
      <c r="Z74" s="447">
        <f>M74+T74</f>
        <v>-147.07395000000002</v>
      </c>
      <c r="AA74" s="447"/>
    </row>
    <row r="75" spans="1:27" ht="31.5" x14ac:dyDescent="0.2">
      <c r="A75" s="979" t="s">
        <v>1040</v>
      </c>
      <c r="B75" s="986"/>
      <c r="C75" s="981">
        <f>C13+C34+C36+C50+C54+C65+C66+C67+C68+C69+C70+C71+C72+C73</f>
        <v>33261.040000000001</v>
      </c>
      <c r="D75" s="981">
        <f>D13+D34+D36+D50+D54+D65+D66+D67+D68+D69+D70+D71+D72+D73</f>
        <v>5349.7199999999993</v>
      </c>
      <c r="E75" s="981">
        <f>E13+E34+E36+E50+E54+E65+E66+E67+E68+E69+E70+E71+E72+E73</f>
        <v>22.54</v>
      </c>
      <c r="F75" s="981">
        <f>F13+F34+F36+F50+F54+F65+F66+F67+F68+F69+F70+F71+F72+F73</f>
        <v>10651.069999999998</v>
      </c>
      <c r="G75" s="981">
        <f>G13+G34+G36+G50+G54+G65+G66+G67+G68+G69+G70+G71+G72+G73</f>
        <v>16000.78</v>
      </c>
      <c r="H75" s="982">
        <v>4.8099999999999996</v>
      </c>
      <c r="I75" s="983">
        <f>I13+I34+I36+I50+I54+I65+I66+I67+I68+I69+I70+I71+I72+I73+I74</f>
        <v>15390.504159162478</v>
      </c>
      <c r="J75" s="983">
        <f>J13+J34+J36+J50+J54+J65+J66+J67+J68+J69+J70+J71+J72+J73</f>
        <v>2229.4947316462876</v>
      </c>
      <c r="K75" s="445"/>
      <c r="L75" s="983">
        <f>L13+L34+L36+L50+L54+L65+L66+L67+L68+L69+L70+L71+L72+L73</f>
        <v>4585.4984344158265</v>
      </c>
      <c r="M75" s="983">
        <f>M13+M34+M36+M50+M54+M65+M66+M67+M68+M69+M70+M71+M72+M73+M74</f>
        <v>8543.8591807585854</v>
      </c>
      <c r="N75" s="490">
        <f>M75/I75*10</f>
        <v>5.5513835624885246</v>
      </c>
      <c r="O75" s="984">
        <f>O13+O34+O36+O50+O54+O65+O66+O67+O68+O69+O70+O71+O72+O73</f>
        <v>31406.853170000006</v>
      </c>
      <c r="P75" s="983">
        <f>P13+P34+P36+P50+P54+P65+P66+P67+P68+P69+P70+P71+P72+P73+P74</f>
        <v>16724.463729289571</v>
      </c>
      <c r="Q75" s="983">
        <f>Q13+Q34+Q36+Q50+Q54+Q65+Q66+Q67+Q68+Q69+Q70+Q71+Q72+Q73+Q74</f>
        <v>2290.620886120344</v>
      </c>
      <c r="R75" s="983">
        <f>R13+R34+R36+R50+R54+R65+R66+R67+R68+R69+R70+R71+R72+R73+R74</f>
        <v>0</v>
      </c>
      <c r="S75" s="983">
        <f>S13+S34+S36+S50+S54+S65+S66+S67+S68+S69+S70+S71+S72+S73+S74</f>
        <v>4183.1599525291595</v>
      </c>
      <c r="T75" s="983">
        <f>T13+T34+T36+T50+T54+T65+T66+T67+T68+T69+T70+T71+T72+T73+T74</f>
        <v>8794.0676419042138</v>
      </c>
      <c r="U75" s="983">
        <f>T75/P75*10</f>
        <v>5.2582060532698289</v>
      </c>
      <c r="V75" s="490">
        <f t="shared" si="35"/>
        <v>32114.967888452047</v>
      </c>
      <c r="W75" s="985">
        <f t="shared" si="35"/>
        <v>4520.1156177666317</v>
      </c>
      <c r="X75" s="447"/>
      <c r="Y75" s="983">
        <f>Y13+Y34+Y36+Y50+Y54+Y65+Y66+Y67+Y68+Y69+Y70+Y71+Y72+Y73+Y74</f>
        <v>10392.139674299699</v>
      </c>
      <c r="Z75" s="983">
        <f>Z13+Z34+Z36+Z50+Z54+Z65+Z66+Z67+Z68+Z69+Z70+Z71+Z72+Z73+Z74</f>
        <v>17337.925682966328</v>
      </c>
      <c r="AA75" s="985">
        <f>Z75/V75*10</f>
        <v>5.39870559521896</v>
      </c>
    </row>
  </sheetData>
  <mergeCells count="6">
    <mergeCell ref="A1:AA1"/>
    <mergeCell ref="A2:AA2"/>
    <mergeCell ref="B3:H3"/>
    <mergeCell ref="I3:N3"/>
    <mergeCell ref="P3:U3"/>
    <mergeCell ref="V3:AA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11"/>
  <sheetViews>
    <sheetView topLeftCell="A22" workbookViewId="0">
      <selection activeCell="AK22" sqref="AK22"/>
    </sheetView>
  </sheetViews>
  <sheetFormatPr defaultRowHeight="12.75" x14ac:dyDescent="0.2"/>
  <cols>
    <col min="1" max="1" width="61.140625" customWidth="1"/>
    <col min="2" max="2" width="0" hidden="1" customWidth="1"/>
    <col min="9" max="27" width="0" hidden="1" customWidth="1"/>
    <col min="31" max="36" width="0" hidden="1" customWidth="1"/>
  </cols>
  <sheetData>
    <row r="1" spans="1:35" ht="15.75" x14ac:dyDescent="0.25">
      <c r="A1" s="1814" t="s">
        <v>341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  <c r="M1" s="1814"/>
      <c r="N1" s="1814"/>
      <c r="O1" s="1814"/>
      <c r="P1" s="1814"/>
      <c r="Q1" s="1814"/>
      <c r="R1" s="1814"/>
      <c r="S1" s="1814"/>
      <c r="T1" s="1814"/>
      <c r="U1" s="1814"/>
      <c r="V1" s="1814"/>
      <c r="W1" s="1814"/>
      <c r="X1" s="1814"/>
      <c r="Y1" s="1814"/>
      <c r="Z1" s="1814"/>
      <c r="AA1" s="1814"/>
    </row>
    <row r="2" spans="1:35" ht="15.75" x14ac:dyDescent="0.2">
      <c r="A2" s="1815" t="s">
        <v>1041</v>
      </c>
      <c r="B2" s="1816"/>
      <c r="C2" s="1816"/>
      <c r="D2" s="1816"/>
      <c r="E2" s="1816"/>
      <c r="F2" s="1816"/>
      <c r="G2" s="1816"/>
      <c r="H2" s="1816"/>
      <c r="I2" s="1816"/>
      <c r="J2" s="1816"/>
      <c r="K2" s="1816"/>
      <c r="L2" s="1816"/>
      <c r="M2" s="1816"/>
      <c r="N2" s="1816"/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6"/>
      <c r="Z2" s="1816"/>
      <c r="AA2" s="1816"/>
    </row>
    <row r="3" spans="1:35" ht="15.75" customHeight="1" x14ac:dyDescent="0.2">
      <c r="A3" s="961"/>
      <c r="B3" s="1817" t="s">
        <v>1042</v>
      </c>
      <c r="C3" s="1817"/>
      <c r="D3" s="1817"/>
      <c r="E3" s="1817"/>
      <c r="F3" s="1817"/>
      <c r="G3" s="1817"/>
      <c r="H3" s="1824"/>
      <c r="I3" s="1819" t="s">
        <v>955</v>
      </c>
      <c r="J3" s="1820"/>
      <c r="K3" s="1820"/>
      <c r="L3" s="1820"/>
      <c r="M3" s="1820"/>
      <c r="N3" s="1820"/>
      <c r="O3" s="962"/>
      <c r="P3" s="1819" t="s">
        <v>956</v>
      </c>
      <c r="Q3" s="1820"/>
      <c r="R3" s="1820"/>
      <c r="S3" s="1820"/>
      <c r="T3" s="1820"/>
      <c r="U3" s="1820"/>
      <c r="V3" s="1819" t="s">
        <v>957</v>
      </c>
      <c r="W3" s="1820"/>
      <c r="X3" s="1820"/>
      <c r="Y3" s="1820"/>
      <c r="Z3" s="1820"/>
      <c r="AA3" s="1820"/>
    </row>
    <row r="4" spans="1:35" ht="99.75" x14ac:dyDescent="0.2">
      <c r="A4" s="963" t="s">
        <v>958</v>
      </c>
      <c r="B4" s="963" t="s">
        <v>959</v>
      </c>
      <c r="C4" s="964" t="s">
        <v>1061</v>
      </c>
      <c r="D4" s="964" t="s">
        <v>961</v>
      </c>
      <c r="E4" s="965" t="s">
        <v>962</v>
      </c>
      <c r="F4" s="965" t="s">
        <v>963</v>
      </c>
      <c r="G4" s="966" t="s">
        <v>964</v>
      </c>
      <c r="H4" s="968" t="s">
        <v>965</v>
      </c>
      <c r="I4" s="967" t="s">
        <v>966</v>
      </c>
      <c r="J4" s="967" t="s">
        <v>961</v>
      </c>
      <c r="K4" s="968" t="s">
        <v>962</v>
      </c>
      <c r="L4" s="968" t="s">
        <v>963</v>
      </c>
      <c r="M4" s="968" t="s">
        <v>964</v>
      </c>
      <c r="N4" s="968" t="s">
        <v>965</v>
      </c>
      <c r="O4" s="969"/>
      <c r="P4" s="967" t="s">
        <v>967</v>
      </c>
      <c r="Q4" s="967" t="s">
        <v>968</v>
      </c>
      <c r="R4" s="968" t="s">
        <v>962</v>
      </c>
      <c r="S4" s="967" t="s">
        <v>969</v>
      </c>
      <c r="T4" s="967" t="s">
        <v>970</v>
      </c>
      <c r="U4" s="968" t="s">
        <v>965</v>
      </c>
      <c r="V4" s="967" t="s">
        <v>967</v>
      </c>
      <c r="W4" s="967" t="s">
        <v>961</v>
      </c>
      <c r="X4" s="968" t="s">
        <v>962</v>
      </c>
      <c r="Y4" s="968" t="s">
        <v>963</v>
      </c>
      <c r="Z4" s="968" t="s">
        <v>964</v>
      </c>
      <c r="AA4" s="967" t="s">
        <v>971</v>
      </c>
      <c r="AF4" t="s">
        <v>1058</v>
      </c>
      <c r="AH4" t="s">
        <v>1059</v>
      </c>
    </row>
    <row r="5" spans="1:35" ht="15.75" x14ac:dyDescent="0.25">
      <c r="A5" s="970" t="s">
        <v>972</v>
      </c>
      <c r="B5" s="971"/>
      <c r="C5" s="971"/>
      <c r="D5" s="971"/>
      <c r="E5" s="971"/>
      <c r="F5" s="971"/>
      <c r="G5" s="972"/>
      <c r="H5" s="997"/>
      <c r="I5" s="361"/>
      <c r="J5" s="361"/>
      <c r="K5" s="361"/>
      <c r="L5" s="361"/>
      <c r="M5" s="361"/>
      <c r="N5" s="361"/>
      <c r="O5" s="97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</row>
    <row r="6" spans="1:35" ht="15.75" x14ac:dyDescent="0.2">
      <c r="A6" s="974" t="s">
        <v>973</v>
      </c>
      <c r="B6" s="975">
        <v>68.400000000000006</v>
      </c>
      <c r="C6" s="976">
        <v>4574.16</v>
      </c>
      <c r="D6" s="976">
        <v>523.91999999999996</v>
      </c>
      <c r="E6" s="976">
        <v>3.76</v>
      </c>
      <c r="F6" s="976">
        <f>C6*E6/10</f>
        <v>1719.8841600000001</v>
      </c>
      <c r="G6" s="977">
        <f>D6+F6</f>
        <v>2243.8041600000001</v>
      </c>
      <c r="H6" s="998">
        <f>G6/C6*10</f>
        <v>4.9053906290991138</v>
      </c>
      <c r="I6" s="446">
        <f>'[12]Actuals apprd'!$F$26</f>
        <v>2187.0794839999999</v>
      </c>
      <c r="J6" s="446">
        <f>'[12]Actuals apprd'!$G$26</f>
        <v>199.35710812761926</v>
      </c>
      <c r="K6" s="446">
        <f>L6/I6*10</f>
        <v>3.4834111053434489</v>
      </c>
      <c r="L6" s="446">
        <f>'[12]Actuals apprd'!$H$26</f>
        <v>761.84969628344197</v>
      </c>
      <c r="M6" s="446">
        <f t="shared" ref="M6:M11" si="0">J6+L6</f>
        <v>961.20680441106128</v>
      </c>
      <c r="N6" s="446">
        <f>M6/I6*10</f>
        <v>4.3949331125958349</v>
      </c>
      <c r="O6" s="978">
        <f>C6-(C6*0.97%)</f>
        <v>4529.7906480000001</v>
      </c>
      <c r="P6" s="446">
        <f>O6-I6</f>
        <v>2342.7111640000003</v>
      </c>
      <c r="Q6" s="446">
        <f>J6</f>
        <v>199.35710812761926</v>
      </c>
      <c r="R6" s="446"/>
      <c r="S6" s="446">
        <f>P6*K6/10</f>
        <v>816.06260852896787</v>
      </c>
      <c r="T6" s="446">
        <f>Q6+S6</f>
        <v>1015.4197166565871</v>
      </c>
      <c r="U6" s="446">
        <f>T6/P6*10</f>
        <v>4.3343786133790196</v>
      </c>
      <c r="V6" s="446">
        <f>I6+P6</f>
        <v>4529.7906480000001</v>
      </c>
      <c r="W6" s="447">
        <f>J6+Q6</f>
        <v>398.71421625523851</v>
      </c>
      <c r="X6" s="447">
        <f>Y6/V6*10</f>
        <v>3.4834111053434484</v>
      </c>
      <c r="Y6" s="447">
        <f t="shared" ref="Y6:Y13" si="1">L6+S6</f>
        <v>1577.9123048124097</v>
      </c>
      <c r="Z6" s="447">
        <f>Y6+W6</f>
        <v>1976.6265210676484</v>
      </c>
      <c r="AA6" s="447">
        <f>Z6/V6*10</f>
        <v>4.3636156164090529</v>
      </c>
      <c r="AF6">
        <f>D6/C6*10</f>
        <v>1.1453906290991132</v>
      </c>
      <c r="AG6" s="448">
        <f>AH6-AF6</f>
        <v>3.7570093709008869</v>
      </c>
      <c r="AH6">
        <v>4.9024000000000001</v>
      </c>
      <c r="AI6" s="976">
        <v>4574.16</v>
      </c>
    </row>
    <row r="7" spans="1:35" ht="15.75" x14ac:dyDescent="0.2">
      <c r="A7" s="974" t="s">
        <v>974</v>
      </c>
      <c r="B7" s="975">
        <v>66</v>
      </c>
      <c r="C7" s="976">
        <v>850</v>
      </c>
      <c r="D7" s="976">
        <v>149.9</v>
      </c>
      <c r="E7" s="976">
        <v>3.64</v>
      </c>
      <c r="F7" s="976">
        <f t="shared" ref="F7:F12" si="2">C7*E7/10</f>
        <v>309.39999999999998</v>
      </c>
      <c r="G7" s="977">
        <f t="shared" ref="G7:G12" si="3">D7+F7</f>
        <v>459.29999999999995</v>
      </c>
      <c r="H7" s="998">
        <f t="shared" ref="H7:H12" si="4">G7/C7*10</f>
        <v>5.4035294117647048</v>
      </c>
      <c r="I7" s="446">
        <f>'[12]Actuals apprd'!F27</f>
        <v>380.54055399999999</v>
      </c>
      <c r="J7" s="446">
        <f>'[12]Actuals apprd'!G27</f>
        <v>74.957227425882365</v>
      </c>
      <c r="K7" s="446">
        <f t="shared" ref="K7:K12" si="5">L7/I7*10</f>
        <v>3.3491756833885304</v>
      </c>
      <c r="L7" s="446">
        <f>'[12]Actuals apprd'!H27</f>
        <v>127.44971700000001</v>
      </c>
      <c r="M7" s="446">
        <f t="shared" si="0"/>
        <v>202.40694442588239</v>
      </c>
      <c r="N7" s="446">
        <f t="shared" ref="N7:N12" si="6">M7/I7*10</f>
        <v>5.31893230033723</v>
      </c>
      <c r="O7" s="978">
        <f t="shared" ref="O7:O12" si="7">C7-(C7*0.97%)</f>
        <v>841.755</v>
      </c>
      <c r="P7" s="446">
        <f t="shared" ref="P7:P12" si="8">O7-I7</f>
        <v>461.21444600000001</v>
      </c>
      <c r="Q7" s="446">
        <f>J7</f>
        <v>74.957227425882365</v>
      </c>
      <c r="R7" s="446"/>
      <c r="S7" s="446">
        <f t="shared" ref="S7:S12" si="9">P7*K7/10</f>
        <v>154.46882073707124</v>
      </c>
      <c r="T7" s="446">
        <f t="shared" ref="T7:T12" si="10">Q7+S7</f>
        <v>229.42604816295361</v>
      </c>
      <c r="U7" s="446">
        <f t="shared" ref="U7:U13" si="11">T7/P7*10</f>
        <v>4.9743898993778179</v>
      </c>
      <c r="V7" s="446">
        <f t="shared" ref="V7:W80" si="12">I7+P7</f>
        <v>841.755</v>
      </c>
      <c r="W7" s="447">
        <f t="shared" si="12"/>
        <v>149.91445485176473</v>
      </c>
      <c r="X7" s="447">
        <f>Y7/V7*10</f>
        <v>3.3491756833885304</v>
      </c>
      <c r="Y7" s="447">
        <f t="shared" si="1"/>
        <v>281.91853773707123</v>
      </c>
      <c r="Z7" s="447">
        <f t="shared" ref="Z7:Z78" si="13">Y7+W7</f>
        <v>431.83299258883596</v>
      </c>
      <c r="AA7" s="447">
        <f t="shared" ref="AA7:AA78" si="14">Z7/V7*10</f>
        <v>5.1301506090113627</v>
      </c>
      <c r="AF7">
        <f t="shared" ref="AF7:AF13" si="15">D7/C7*10</f>
        <v>1.763529411764706</v>
      </c>
      <c r="AG7" s="448">
        <f t="shared" ref="AG7:AG12" si="16">AH7-AF7</f>
        <v>3.6374705882352938</v>
      </c>
      <c r="AH7">
        <v>5.4009999999999998</v>
      </c>
      <c r="AI7" s="976">
        <v>850</v>
      </c>
    </row>
    <row r="8" spans="1:35" ht="15.75" x14ac:dyDescent="0.2">
      <c r="A8" s="974" t="s">
        <v>975</v>
      </c>
      <c r="B8" s="975">
        <v>66</v>
      </c>
      <c r="C8" s="976">
        <v>1059</v>
      </c>
      <c r="D8" s="976">
        <v>191.52</v>
      </c>
      <c r="E8" s="976">
        <v>3.4</v>
      </c>
      <c r="F8" s="976">
        <f t="shared" si="2"/>
        <v>360.06</v>
      </c>
      <c r="G8" s="977">
        <f t="shared" si="3"/>
        <v>551.58000000000004</v>
      </c>
      <c r="H8" s="998">
        <f t="shared" si="4"/>
        <v>5.2084985835694049</v>
      </c>
      <c r="I8" s="446">
        <f>'[12]Actuals apprd'!F28</f>
        <v>435.21521999999999</v>
      </c>
      <c r="J8" s="446">
        <f>'[12]Actuals apprd'!G28</f>
        <v>95.780255998489679</v>
      </c>
      <c r="K8" s="446">
        <f t="shared" si="5"/>
        <v>3.8531106790735374</v>
      </c>
      <c r="L8" s="446">
        <f>'[12]Actuals apprd'!H28</f>
        <v>167.69324118773389</v>
      </c>
      <c r="M8" s="446">
        <f t="shared" si="0"/>
        <v>263.47349718622354</v>
      </c>
      <c r="N8" s="446">
        <f t="shared" si="6"/>
        <v>6.0538668014924557</v>
      </c>
      <c r="O8" s="978">
        <f>C8-(C8*0.97%)-200</f>
        <v>848.72769999999991</v>
      </c>
      <c r="P8" s="446">
        <f>O8-I8-0.86</f>
        <v>412.65247999999991</v>
      </c>
      <c r="Q8" s="446">
        <f>J8</f>
        <v>95.780255998489679</v>
      </c>
      <c r="R8" s="446"/>
      <c r="S8" s="446">
        <f t="shared" si="9"/>
        <v>158.99956774341791</v>
      </c>
      <c r="T8" s="446">
        <f t="shared" si="10"/>
        <v>254.77982374190759</v>
      </c>
      <c r="U8" s="446">
        <f t="shared" si="11"/>
        <v>6.1741982925174144</v>
      </c>
      <c r="V8" s="446">
        <f t="shared" si="12"/>
        <v>847.8676999999999</v>
      </c>
      <c r="W8" s="447">
        <f t="shared" si="12"/>
        <v>191.56051199697936</v>
      </c>
      <c r="X8" s="447">
        <f>Y8/V8*10</f>
        <v>3.8531106790735379</v>
      </c>
      <c r="Y8" s="447">
        <f t="shared" si="1"/>
        <v>326.69280893115183</v>
      </c>
      <c r="Z8" s="447">
        <f t="shared" si="13"/>
        <v>518.25332092813119</v>
      </c>
      <c r="AA8" s="447">
        <f t="shared" si="14"/>
        <v>6.112431466939138</v>
      </c>
      <c r="AF8">
        <f t="shared" si="15"/>
        <v>1.808498583569405</v>
      </c>
      <c r="AG8" s="448">
        <f t="shared" si="16"/>
        <v>3.3915014164305952</v>
      </c>
      <c r="AH8">
        <v>5.2</v>
      </c>
      <c r="AI8" s="976">
        <v>800</v>
      </c>
    </row>
    <row r="9" spans="1:35" ht="15.75" x14ac:dyDescent="0.2">
      <c r="A9" s="974" t="s">
        <v>976</v>
      </c>
      <c r="B9" s="975">
        <v>66</v>
      </c>
      <c r="C9" s="1005">
        <f>881+200</f>
        <v>1081</v>
      </c>
      <c r="D9" s="1005">
        <v>303</v>
      </c>
      <c r="E9" s="1005">
        <v>3.25</v>
      </c>
      <c r="F9" s="1005">
        <f t="shared" si="2"/>
        <v>351.32499999999999</v>
      </c>
      <c r="G9" s="1006">
        <f t="shared" si="3"/>
        <v>654.32500000000005</v>
      </c>
      <c r="H9" s="1007">
        <f t="shared" si="4"/>
        <v>6.052960222016651</v>
      </c>
      <c r="I9" s="446">
        <f>'[12]Actuals apprd'!F29</f>
        <v>237.66468</v>
      </c>
      <c r="J9" s="446">
        <f>'[12]Actuals apprd'!G29</f>
        <v>151.585751526</v>
      </c>
      <c r="K9" s="446">
        <f t="shared" si="5"/>
        <v>3.3921436084065997</v>
      </c>
      <c r="L9" s="446">
        <f>'[12]Actuals apprd'!H29</f>
        <v>80.619272520599992</v>
      </c>
      <c r="M9" s="446">
        <f t="shared" si="0"/>
        <v>232.20502404659999</v>
      </c>
      <c r="N9" s="446">
        <f t="shared" si="6"/>
        <v>9.7702790354292439</v>
      </c>
      <c r="O9" s="978">
        <f>C9-(C9*0.97%)</f>
        <v>1070.5143</v>
      </c>
      <c r="P9" s="446">
        <f>O9-I9-95.51</f>
        <v>737.33962000000008</v>
      </c>
      <c r="Q9" s="446">
        <f>J9</f>
        <v>151.585751526</v>
      </c>
      <c r="R9" s="446"/>
      <c r="S9" s="446">
        <f t="shared" si="9"/>
        <v>250.11618792079511</v>
      </c>
      <c r="T9" s="446">
        <f t="shared" si="10"/>
        <v>401.70193944679511</v>
      </c>
      <c r="U9" s="446">
        <f t="shared" si="11"/>
        <v>5.4479907026669068</v>
      </c>
      <c r="V9" s="446">
        <f t="shared" si="12"/>
        <v>975.00430000000006</v>
      </c>
      <c r="W9" s="447">
        <f t="shared" si="12"/>
        <v>303.17150305199999</v>
      </c>
      <c r="X9" s="447">
        <f>Y9/V9*10</f>
        <v>3.3921436084065997</v>
      </c>
      <c r="Y9" s="447">
        <f t="shared" si="1"/>
        <v>330.73546044139511</v>
      </c>
      <c r="Z9" s="447">
        <f t="shared" si="13"/>
        <v>633.9069634933951</v>
      </c>
      <c r="AA9" s="447">
        <f t="shared" si="14"/>
        <v>6.501581208343338</v>
      </c>
      <c r="AF9">
        <f t="shared" si="15"/>
        <v>2.802960222016651</v>
      </c>
      <c r="AG9" s="448">
        <f t="shared" si="16"/>
        <v>2.2970397779833487</v>
      </c>
      <c r="AH9">
        <v>5.0999999999999996</v>
      </c>
      <c r="AI9" s="976">
        <v>881</v>
      </c>
    </row>
    <row r="10" spans="1:35" ht="15.75" x14ac:dyDescent="0.2">
      <c r="A10" s="974" t="s">
        <v>977</v>
      </c>
      <c r="B10" s="975">
        <v>66</v>
      </c>
      <c r="C10" s="1005">
        <f>480+800</f>
        <v>1280</v>
      </c>
      <c r="D10" s="1005">
        <f>280*2</f>
        <v>560</v>
      </c>
      <c r="E10" s="1005">
        <v>3.28</v>
      </c>
      <c r="F10" s="1005">
        <f t="shared" si="2"/>
        <v>419.84</v>
      </c>
      <c r="G10" s="1006">
        <f t="shared" si="3"/>
        <v>979.83999999999992</v>
      </c>
      <c r="H10" s="1007">
        <f t="shared" si="4"/>
        <v>7.6549999999999994</v>
      </c>
      <c r="I10" s="446">
        <f>'[12]Actuals apprd'!F30</f>
        <v>208.600854</v>
      </c>
      <c r="J10" s="446">
        <f>'[12]Actuals apprd'!G30</f>
        <v>280.29355588235296</v>
      </c>
      <c r="K10" s="446">
        <f t="shared" si="5"/>
        <v>3.4141497330111603</v>
      </c>
      <c r="L10" s="446">
        <f>'[12]Actuals apprd'!H30</f>
        <v>71.219454999000007</v>
      </c>
      <c r="M10" s="446">
        <f t="shared" si="0"/>
        <v>351.51301088135295</v>
      </c>
      <c r="N10" s="446">
        <f t="shared" si="6"/>
        <v>16.850986184426308</v>
      </c>
      <c r="O10" s="978">
        <f t="shared" si="7"/>
        <v>1267.5840000000001</v>
      </c>
      <c r="P10" s="446">
        <f t="shared" si="8"/>
        <v>1058.983146</v>
      </c>
      <c r="Q10" s="446">
        <f>J10</f>
        <v>280.29355588235296</v>
      </c>
      <c r="R10" s="446"/>
      <c r="S10" s="446">
        <f t="shared" si="9"/>
        <v>361.55270251792183</v>
      </c>
      <c r="T10" s="446">
        <f t="shared" si="10"/>
        <v>641.84625840027479</v>
      </c>
      <c r="U10" s="446">
        <f t="shared" si="11"/>
        <v>6.0609676445244842</v>
      </c>
      <c r="V10" s="446">
        <f t="shared" si="12"/>
        <v>1267.5840000000001</v>
      </c>
      <c r="W10" s="447">
        <f t="shared" si="12"/>
        <v>560.58711176470592</v>
      </c>
      <c r="X10" s="447">
        <f>Y10/V10*10</f>
        <v>3.4141497330111599</v>
      </c>
      <c r="Y10" s="447">
        <f t="shared" si="1"/>
        <v>432.77215751692182</v>
      </c>
      <c r="Z10" s="447">
        <f t="shared" si="13"/>
        <v>993.3592692816278</v>
      </c>
      <c r="AA10" s="447">
        <f t="shared" si="14"/>
        <v>7.836634647341933</v>
      </c>
      <c r="AF10">
        <f t="shared" si="15"/>
        <v>4.375</v>
      </c>
      <c r="AG10" s="448">
        <f t="shared" si="16"/>
        <v>1.4249999999999998</v>
      </c>
      <c r="AH10">
        <v>5.8</v>
      </c>
      <c r="AI10" s="976">
        <v>480</v>
      </c>
    </row>
    <row r="11" spans="1:35" ht="15.75" x14ac:dyDescent="0.2">
      <c r="A11" s="974" t="s">
        <v>978</v>
      </c>
      <c r="B11" s="975">
        <v>66</v>
      </c>
      <c r="C11" s="976">
        <v>605</v>
      </c>
      <c r="D11" s="976">
        <v>915</v>
      </c>
      <c r="E11" s="976">
        <v>3.11</v>
      </c>
      <c r="F11" s="976">
        <f t="shared" si="2"/>
        <v>188.155</v>
      </c>
      <c r="G11" s="977">
        <f t="shared" si="3"/>
        <v>1103.155</v>
      </c>
      <c r="H11" s="998">
        <v>5.633</v>
      </c>
      <c r="I11" s="446">
        <f>'[12]Actuals apprd'!F31</f>
        <v>0</v>
      </c>
      <c r="J11" s="446" t="e">
        <f>'[12]Actuals apprd'!G31</f>
        <v>#REF!</v>
      </c>
      <c r="K11" s="446" t="e">
        <f t="shared" si="5"/>
        <v>#REF!</v>
      </c>
      <c r="L11" s="446" t="e">
        <f>'[12]Actuals apprd'!H31</f>
        <v>#REF!</v>
      </c>
      <c r="M11" s="446" t="e">
        <f t="shared" si="0"/>
        <v>#REF!</v>
      </c>
      <c r="N11" s="446"/>
      <c r="O11" s="978">
        <f t="shared" si="7"/>
        <v>599.13149999999996</v>
      </c>
      <c r="P11" s="446"/>
      <c r="Q11" s="446"/>
      <c r="R11" s="446"/>
      <c r="S11" s="446"/>
      <c r="T11" s="446"/>
      <c r="U11" s="446"/>
      <c r="V11" s="446">
        <f t="shared" si="12"/>
        <v>0</v>
      </c>
      <c r="W11" s="447" t="e">
        <f t="shared" si="12"/>
        <v>#REF!</v>
      </c>
      <c r="X11" s="447"/>
      <c r="Y11" s="447" t="e">
        <f t="shared" si="1"/>
        <v>#REF!</v>
      </c>
      <c r="Z11" s="447" t="e">
        <f t="shared" si="13"/>
        <v>#REF!</v>
      </c>
      <c r="AA11" s="447"/>
      <c r="AF11">
        <f t="shared" si="15"/>
        <v>15.123966942148762</v>
      </c>
      <c r="AG11" s="448">
        <f t="shared" si="16"/>
        <v>-9.0239669421487623</v>
      </c>
      <c r="AH11">
        <v>6.1</v>
      </c>
      <c r="AI11" s="976">
        <v>605</v>
      </c>
    </row>
    <row r="12" spans="1:35" ht="15.75" x14ac:dyDescent="0.2">
      <c r="A12" s="974" t="s">
        <v>1043</v>
      </c>
      <c r="B12" s="975">
        <v>66</v>
      </c>
      <c r="C12" s="976">
        <v>510</v>
      </c>
      <c r="D12" s="976">
        <f>96.39</f>
        <v>96.39</v>
      </c>
      <c r="E12" s="976">
        <v>4.75</v>
      </c>
      <c r="F12" s="976">
        <f t="shared" si="2"/>
        <v>242.25</v>
      </c>
      <c r="G12" s="977">
        <f t="shared" si="3"/>
        <v>338.64</v>
      </c>
      <c r="H12" s="998">
        <f t="shared" si="4"/>
        <v>6.6399999999999988</v>
      </c>
      <c r="I12" s="446">
        <f>'[12]Actuals apprd'!F32</f>
        <v>331.44078000000002</v>
      </c>
      <c r="J12" s="446">
        <v>251.74</v>
      </c>
      <c r="K12" s="446">
        <f t="shared" si="5"/>
        <v>2.3883602977279978</v>
      </c>
      <c r="L12" s="446">
        <v>79.16</v>
      </c>
      <c r="M12" s="446">
        <f>'[12]Actuals apprd'!$K$32</f>
        <v>330.90113969647058</v>
      </c>
      <c r="N12" s="446">
        <f t="shared" si="6"/>
        <v>9.9837183492167298</v>
      </c>
      <c r="O12" s="978">
        <f t="shared" si="7"/>
        <v>505.053</v>
      </c>
      <c r="P12" s="446">
        <f t="shared" si="8"/>
        <v>173.61221999999998</v>
      </c>
      <c r="Q12" s="446">
        <v>230</v>
      </c>
      <c r="R12" s="446"/>
      <c r="S12" s="446">
        <f t="shared" si="9"/>
        <v>41.464853344841863</v>
      </c>
      <c r="T12" s="446">
        <f t="shared" si="10"/>
        <v>271.46485334484186</v>
      </c>
      <c r="U12" s="446">
        <f t="shared" si="11"/>
        <v>15.636275680642866</v>
      </c>
      <c r="V12" s="446">
        <f t="shared" si="12"/>
        <v>505.053</v>
      </c>
      <c r="W12" s="447">
        <f t="shared" si="12"/>
        <v>481.74</v>
      </c>
      <c r="X12" s="447">
        <f>Y12/V12*10</f>
        <v>2.3883602977279978</v>
      </c>
      <c r="Y12" s="447">
        <f t="shared" si="1"/>
        <v>120.62485334484185</v>
      </c>
      <c r="Z12" s="447">
        <f t="shared" si="13"/>
        <v>602.36485334484189</v>
      </c>
      <c r="AA12" s="447">
        <f t="shared" si="14"/>
        <v>11.926765178007891</v>
      </c>
      <c r="AF12">
        <f t="shared" si="15"/>
        <v>1.8900000000000001</v>
      </c>
      <c r="AG12" s="448">
        <f t="shared" si="16"/>
        <v>-1.8900000000000001</v>
      </c>
      <c r="AI12" s="976">
        <v>510</v>
      </c>
    </row>
    <row r="13" spans="1:35" ht="15.75" x14ac:dyDescent="0.2">
      <c r="A13" s="979" t="s">
        <v>979</v>
      </c>
      <c r="B13" s="980"/>
      <c r="C13" s="981">
        <f>SUM(C6:C12)</f>
        <v>9959.16</v>
      </c>
      <c r="D13" s="981">
        <f>SUM(D6:D12)</f>
        <v>2739.73</v>
      </c>
      <c r="E13" s="981">
        <v>3.17</v>
      </c>
      <c r="F13" s="981">
        <f>SUM(F6:F12)</f>
        <v>3590.9141600000003</v>
      </c>
      <c r="G13" s="982">
        <f>SUM(G6:G12)</f>
        <v>6330.6441599999998</v>
      </c>
      <c r="H13" s="983">
        <v>4.3</v>
      </c>
      <c r="I13" s="983">
        <f>SUM(I6:I12)</f>
        <v>3780.5415719999996</v>
      </c>
      <c r="J13" s="983" t="e">
        <f>SUM(J6:J12)</f>
        <v>#REF!</v>
      </c>
      <c r="K13" s="983">
        <v>3.17</v>
      </c>
      <c r="L13" s="983" t="e">
        <f>SUM(L6:L12)</f>
        <v>#REF!</v>
      </c>
      <c r="M13" s="983" t="e">
        <f>SUM(M6:M12)</f>
        <v>#REF!</v>
      </c>
      <c r="N13" s="983" t="e">
        <f>M13/I13*10</f>
        <v>#REF!</v>
      </c>
      <c r="O13" s="984">
        <f t="shared" ref="O13:T13" si="17">SUM(O6:O12)</f>
        <v>9662.5561479999997</v>
      </c>
      <c r="P13" s="983">
        <f t="shared" si="17"/>
        <v>5186.5130760000002</v>
      </c>
      <c r="Q13" s="983">
        <f t="shared" si="17"/>
        <v>1031.9738989603443</v>
      </c>
      <c r="R13" s="983">
        <f t="shared" si="17"/>
        <v>0</v>
      </c>
      <c r="S13" s="983">
        <f t="shared" si="17"/>
        <v>1782.6647407930157</v>
      </c>
      <c r="T13" s="983">
        <f t="shared" si="17"/>
        <v>2814.6386397533597</v>
      </c>
      <c r="U13" s="446">
        <f t="shared" si="11"/>
        <v>5.4268418849222231</v>
      </c>
      <c r="V13" s="490">
        <f t="shared" si="12"/>
        <v>8967.0546479999994</v>
      </c>
      <c r="W13" s="985" t="e">
        <f t="shared" si="12"/>
        <v>#REF!</v>
      </c>
      <c r="X13" s="985"/>
      <c r="Y13" s="985" t="e">
        <f t="shared" si="1"/>
        <v>#REF!</v>
      </c>
      <c r="Z13" s="985" t="e">
        <f t="shared" si="13"/>
        <v>#REF!</v>
      </c>
      <c r="AA13" s="985" t="e">
        <f t="shared" si="14"/>
        <v>#REF!</v>
      </c>
      <c r="AF13">
        <f t="shared" si="15"/>
        <v>2.7509649408183017</v>
      </c>
    </row>
    <row r="14" spans="1:35" ht="15.75" x14ac:dyDescent="0.2">
      <c r="A14" s="974" t="s">
        <v>980</v>
      </c>
      <c r="B14" s="986"/>
      <c r="C14" s="986"/>
      <c r="D14" s="986"/>
      <c r="E14" s="986"/>
      <c r="F14" s="986"/>
      <c r="G14" s="987"/>
      <c r="H14" s="999"/>
      <c r="I14" s="445"/>
      <c r="J14" s="445"/>
      <c r="K14" s="445"/>
      <c r="L14" s="445"/>
      <c r="M14" s="445"/>
      <c r="N14" s="445"/>
      <c r="O14" s="978"/>
      <c r="P14" s="446"/>
      <c r="Q14" s="446"/>
      <c r="R14" s="446"/>
      <c r="S14" s="446"/>
      <c r="T14" s="446"/>
      <c r="U14" s="446"/>
      <c r="V14" s="446"/>
      <c r="W14" s="447"/>
      <c r="X14" s="447"/>
      <c r="Y14" s="447"/>
      <c r="Z14" s="447"/>
      <c r="AA14" s="447"/>
    </row>
    <row r="15" spans="1:35" ht="15.75" x14ac:dyDescent="0.2">
      <c r="A15" s="974" t="s">
        <v>981</v>
      </c>
      <c r="B15" s="975">
        <v>48.7226</v>
      </c>
      <c r="C15" s="976">
        <v>1236.69</v>
      </c>
      <c r="D15" s="976">
        <f>C15*AF15/10</f>
        <v>90.27837000000001</v>
      </c>
      <c r="E15" s="976">
        <v>3.2262</v>
      </c>
      <c r="F15" s="976">
        <f t="shared" ref="F15:F36" si="18">C15*E15/10</f>
        <v>398.98092780000002</v>
      </c>
      <c r="G15" s="977">
        <f t="shared" ref="G15:G36" si="19">D15+F15</f>
        <v>489.25929780000001</v>
      </c>
      <c r="H15" s="998">
        <f t="shared" ref="H15:H35" si="20">G15/C15*10</f>
        <v>3.9561999999999999</v>
      </c>
      <c r="I15" s="446">
        <f>'[12]Actuals apprd'!F40</f>
        <v>577.92513024152004</v>
      </c>
      <c r="J15" s="446">
        <f>'[12]Actuals apprd'!G40</f>
        <v>41.4268961</v>
      </c>
      <c r="K15" s="446">
        <f t="shared" ref="K15:K52" si="21">L15/I15*10</f>
        <v>2.35799843905472</v>
      </c>
      <c r="L15" s="446">
        <f>'[12]Actuals apprd'!H40</f>
        <v>136.27465549999999</v>
      </c>
      <c r="M15" s="446">
        <f t="shared" ref="M15:M33" si="22">J15+L15</f>
        <v>177.70155159999999</v>
      </c>
      <c r="N15" s="446">
        <f t="shared" ref="N15:N37" si="23">M15/I15*10</f>
        <v>3.0748195968868308</v>
      </c>
      <c r="O15" s="978">
        <f>C15-(C15*0.97%)</f>
        <v>1224.694107</v>
      </c>
      <c r="P15" s="446">
        <f t="shared" ref="P15:P33" si="24">O15-I15</f>
        <v>646.76897675847999</v>
      </c>
      <c r="Q15" s="446">
        <f>J15</f>
        <v>41.4268961</v>
      </c>
      <c r="R15" s="446"/>
      <c r="S15" s="446">
        <f>P15*K15/10</f>
        <v>152.50802376255143</v>
      </c>
      <c r="T15" s="446">
        <f>Q15+S15</f>
        <v>193.93491986255142</v>
      </c>
      <c r="U15" s="446">
        <f t="shared" ref="U15:U37" si="25">T15/P15*10</f>
        <v>2.9985192059539933</v>
      </c>
      <c r="V15" s="446">
        <f t="shared" si="12"/>
        <v>1224.694107</v>
      </c>
      <c r="W15" s="447">
        <f t="shared" si="12"/>
        <v>82.853792200000001</v>
      </c>
      <c r="X15" s="447">
        <f t="shared" ref="X15:X37" si="26">Y15/V15*10</f>
        <v>2.35799843905472</v>
      </c>
      <c r="Y15" s="447">
        <f>L15+S15</f>
        <v>288.78267926255143</v>
      </c>
      <c r="Z15" s="447">
        <f t="shared" si="13"/>
        <v>371.63647146255141</v>
      </c>
      <c r="AA15" s="447">
        <f t="shared" si="14"/>
        <v>3.034524860847978</v>
      </c>
      <c r="AF15">
        <v>0.73</v>
      </c>
      <c r="AG15">
        <f>AH15-AF15</f>
        <v>3.2262</v>
      </c>
      <c r="AH15">
        <v>3.9561999999999999</v>
      </c>
    </row>
    <row r="16" spans="1:35" ht="15.75" x14ac:dyDescent="0.2">
      <c r="A16" s="974" t="s">
        <v>982</v>
      </c>
      <c r="B16" s="975">
        <v>48.7226</v>
      </c>
      <c r="C16" s="976">
        <v>305.51</v>
      </c>
      <c r="D16" s="976">
        <f t="shared" ref="D16:D25" si="27">C16*AF16/10</f>
        <v>23.82978</v>
      </c>
      <c r="E16" s="976">
        <v>2.472</v>
      </c>
      <c r="F16" s="976">
        <f t="shared" si="18"/>
        <v>75.522071999999994</v>
      </c>
      <c r="G16" s="977">
        <f t="shared" si="19"/>
        <v>99.351851999999994</v>
      </c>
      <c r="H16" s="998">
        <f t="shared" si="20"/>
        <v>3.2519999999999998</v>
      </c>
      <c r="I16" s="446">
        <f>'[12]Actuals apprd'!F41</f>
        <v>159.922724833236</v>
      </c>
      <c r="J16" s="446">
        <f>'[12]Actuals apprd'!G41</f>
        <v>12.787189700000001</v>
      </c>
      <c r="K16" s="446">
        <f t="shared" si="21"/>
        <v>2.4350689647520816</v>
      </c>
      <c r="L16" s="446">
        <f>'[12]Actuals apprd'!H41</f>
        <v>38.9422864</v>
      </c>
      <c r="M16" s="446">
        <f t="shared" si="22"/>
        <v>51.729476099999999</v>
      </c>
      <c r="N16" s="446">
        <f t="shared" si="23"/>
        <v>3.2346544966603337</v>
      </c>
      <c r="O16" s="978">
        <f t="shared" ref="O16:O26" si="28">C16-(C16*0.97%)</f>
        <v>302.54655300000002</v>
      </c>
      <c r="P16" s="446">
        <f t="shared" si="24"/>
        <v>142.62382816676401</v>
      </c>
      <c r="Q16" s="446">
        <f t="shared" ref="Q16:Q27" si="29">J16</f>
        <v>12.787189700000001</v>
      </c>
      <c r="R16" s="446"/>
      <c r="S16" s="446">
        <f t="shared" ref="S16:S27" si="30">P16*K16/10</f>
        <v>34.729885760302082</v>
      </c>
      <c r="T16" s="446">
        <f t="shared" ref="T16:T27" si="31">Q16+S16</f>
        <v>47.517075460302081</v>
      </c>
      <c r="U16" s="446">
        <f t="shared" si="25"/>
        <v>3.3316365204236682</v>
      </c>
      <c r="V16" s="446">
        <f t="shared" si="12"/>
        <v>302.54655300000002</v>
      </c>
      <c r="W16" s="447">
        <f t="shared" si="12"/>
        <v>25.574379400000002</v>
      </c>
      <c r="X16" s="447">
        <f t="shared" si="26"/>
        <v>2.4350689647520816</v>
      </c>
      <c r="Y16" s="447">
        <f>L16+S16</f>
        <v>73.672172160302082</v>
      </c>
      <c r="Z16" s="447">
        <f t="shared" si="13"/>
        <v>99.24655156030208</v>
      </c>
      <c r="AA16" s="447">
        <f t="shared" si="14"/>
        <v>3.2803729071176058</v>
      </c>
      <c r="AF16">
        <v>0.78</v>
      </c>
      <c r="AG16">
        <f t="shared" ref="AG16:AG25" si="32">AH16-AF16</f>
        <v>2.4719999999999995</v>
      </c>
      <c r="AH16">
        <v>3.2519999999999998</v>
      </c>
    </row>
    <row r="17" spans="1:36" ht="15.75" x14ac:dyDescent="0.2">
      <c r="A17" s="974" t="s">
        <v>983</v>
      </c>
      <c r="B17" s="975">
        <v>48.7226</v>
      </c>
      <c r="C17" s="976">
        <v>1151.1400000000001</v>
      </c>
      <c r="D17" s="976">
        <f t="shared" si="27"/>
        <v>82.882080000000002</v>
      </c>
      <c r="E17" s="976">
        <v>2.0299999999999998</v>
      </c>
      <c r="F17" s="976">
        <f t="shared" si="18"/>
        <v>233.68141999999997</v>
      </c>
      <c r="G17" s="977">
        <f t="shared" si="19"/>
        <v>316.56349999999998</v>
      </c>
      <c r="H17" s="998">
        <f t="shared" si="20"/>
        <v>2.7499999999999996</v>
      </c>
      <c r="I17" s="446">
        <f>'[12]Actuals apprd'!F42</f>
        <v>517.32030892260195</v>
      </c>
      <c r="J17" s="446">
        <f>'[12]Actuals apprd'!G42</f>
        <v>39.694378999999998</v>
      </c>
      <c r="K17" s="446">
        <f t="shared" si="21"/>
        <v>1.7144470276976789</v>
      </c>
      <c r="L17" s="446">
        <f>'[12]Actuals apprd'!H42</f>
        <v>88.691826599999999</v>
      </c>
      <c r="M17" s="446">
        <f t="shared" si="22"/>
        <v>128.38620559999998</v>
      </c>
      <c r="N17" s="446">
        <f t="shared" si="23"/>
        <v>2.4817545993387298</v>
      </c>
      <c r="O17" s="978">
        <f t="shared" si="28"/>
        <v>1139.9739420000001</v>
      </c>
      <c r="P17" s="446">
        <f t="shared" si="24"/>
        <v>622.65363307739813</v>
      </c>
      <c r="Q17" s="446">
        <f t="shared" si="29"/>
        <v>39.694378999999998</v>
      </c>
      <c r="R17" s="446"/>
      <c r="S17" s="446">
        <f t="shared" si="30"/>
        <v>106.75066705147064</v>
      </c>
      <c r="T17" s="446">
        <f t="shared" si="31"/>
        <v>146.44504605147063</v>
      </c>
      <c r="U17" s="446">
        <f t="shared" si="25"/>
        <v>2.3519503986137824</v>
      </c>
      <c r="V17" s="446">
        <f t="shared" si="12"/>
        <v>1139.9739420000001</v>
      </c>
      <c r="W17" s="447">
        <f t="shared" si="12"/>
        <v>79.388757999999996</v>
      </c>
      <c r="X17" s="447">
        <f t="shared" si="26"/>
        <v>1.7144470276976789</v>
      </c>
      <c r="Y17" s="447">
        <f>L17+S17</f>
        <v>195.44249365147064</v>
      </c>
      <c r="Z17" s="447">
        <f t="shared" si="13"/>
        <v>274.83125165147067</v>
      </c>
      <c r="AA17" s="447">
        <f t="shared" si="14"/>
        <v>2.4108555601656958</v>
      </c>
      <c r="AF17">
        <v>0.72</v>
      </c>
      <c r="AG17">
        <f t="shared" si="32"/>
        <v>2.0294999999999996</v>
      </c>
      <c r="AH17">
        <v>2.7494999999999998</v>
      </c>
    </row>
    <row r="18" spans="1:36" ht="15.75" x14ac:dyDescent="0.2">
      <c r="A18" s="974" t="s">
        <v>984</v>
      </c>
      <c r="B18" s="975">
        <v>48.7226</v>
      </c>
      <c r="C18" s="976">
        <v>505.86</v>
      </c>
      <c r="D18" s="976">
        <f t="shared" si="27"/>
        <v>77.39658</v>
      </c>
      <c r="E18" s="976">
        <v>3.38</v>
      </c>
      <c r="F18" s="976">
        <f t="shared" si="18"/>
        <v>170.98068000000001</v>
      </c>
      <c r="G18" s="977">
        <f t="shared" si="19"/>
        <v>248.37726000000001</v>
      </c>
      <c r="H18" s="998">
        <f t="shared" si="20"/>
        <v>4.91</v>
      </c>
      <c r="I18" s="446">
        <f>'[12]Actuals apprd'!F43</f>
        <v>194.14585023048997</v>
      </c>
      <c r="J18" s="446">
        <f>'[12]Actuals apprd'!G43</f>
        <v>39.2600038</v>
      </c>
      <c r="K18" s="446">
        <f t="shared" si="21"/>
        <v>2.8952864165402739</v>
      </c>
      <c r="L18" s="446">
        <f>'[12]Actuals apprd'!H43</f>
        <v>56.2107843</v>
      </c>
      <c r="M18" s="446">
        <f t="shared" si="22"/>
        <v>95.470788099999993</v>
      </c>
      <c r="N18" s="446">
        <f t="shared" si="23"/>
        <v>4.9174776585055548</v>
      </c>
      <c r="O18" s="978">
        <f t="shared" si="28"/>
        <v>500.95315800000003</v>
      </c>
      <c r="P18" s="446">
        <f t="shared" si="24"/>
        <v>306.80730776951009</v>
      </c>
      <c r="Q18" s="446">
        <f t="shared" si="29"/>
        <v>39.2600038</v>
      </c>
      <c r="R18" s="446"/>
      <c r="S18" s="446">
        <f t="shared" si="30"/>
        <v>88.829503068035379</v>
      </c>
      <c r="T18" s="446">
        <f t="shared" si="31"/>
        <v>128.08950686803539</v>
      </c>
      <c r="U18" s="446">
        <f t="shared" si="25"/>
        <v>4.1749170774075246</v>
      </c>
      <c r="V18" s="446">
        <f t="shared" si="12"/>
        <v>500.95315800000003</v>
      </c>
      <c r="W18" s="447">
        <f t="shared" si="12"/>
        <v>78.5200076</v>
      </c>
      <c r="X18" s="447">
        <f t="shared" si="26"/>
        <v>2.8952864165402739</v>
      </c>
      <c r="Y18" s="447">
        <f>L18+S18</f>
        <v>145.04028736803537</v>
      </c>
      <c r="Z18" s="447">
        <f t="shared" si="13"/>
        <v>223.56029496803535</v>
      </c>
      <c r="AA18" s="447">
        <f t="shared" si="14"/>
        <v>4.4626985856437171</v>
      </c>
      <c r="AF18">
        <v>1.53</v>
      </c>
      <c r="AG18">
        <f t="shared" si="32"/>
        <v>3.3774999999999995</v>
      </c>
      <c r="AH18">
        <v>4.9074999999999998</v>
      </c>
    </row>
    <row r="19" spans="1:36" ht="31.5" x14ac:dyDescent="0.2">
      <c r="A19" s="974" t="s">
        <v>985</v>
      </c>
      <c r="B19" s="975">
        <v>48.7226</v>
      </c>
      <c r="C19" s="976">
        <v>439.32</v>
      </c>
      <c r="D19" s="976">
        <f t="shared" si="27"/>
        <v>78.374688000000006</v>
      </c>
      <c r="E19" s="976">
        <v>4.42</v>
      </c>
      <c r="F19" s="976">
        <f t="shared" si="18"/>
        <v>194.17944</v>
      </c>
      <c r="G19" s="977">
        <f t="shared" si="19"/>
        <v>272.55412799999999</v>
      </c>
      <c r="H19" s="998">
        <f t="shared" si="20"/>
        <v>6.2039999999999997</v>
      </c>
      <c r="I19" s="446">
        <f>'[12]Actuals apprd'!$F$54</f>
        <v>145.046496091352</v>
      </c>
      <c r="J19" s="446">
        <f>'[12]Actuals apprd'!$E$54</f>
        <v>39.275287859999999</v>
      </c>
      <c r="K19" s="446">
        <f t="shared" si="21"/>
        <v>3.4926391995084143</v>
      </c>
      <c r="L19" s="446">
        <f>'[12]Actuals apprd'!$H$54</f>
        <v>50.6595078</v>
      </c>
      <c r="M19" s="446">
        <f t="shared" si="22"/>
        <v>89.934795659999992</v>
      </c>
      <c r="N19" s="446">
        <f t="shared" si="23"/>
        <v>6.2004114600161042</v>
      </c>
      <c r="O19" s="978">
        <f t="shared" si="28"/>
        <v>435.05859599999997</v>
      </c>
      <c r="P19" s="446">
        <f t="shared" si="24"/>
        <v>290.012099908648</v>
      </c>
      <c r="Q19" s="446">
        <f t="shared" si="29"/>
        <v>39.275287859999999</v>
      </c>
      <c r="R19" s="446"/>
      <c r="S19" s="446">
        <f t="shared" si="30"/>
        <v>101.29076284726946</v>
      </c>
      <c r="T19" s="446">
        <f t="shared" si="31"/>
        <v>140.56605070726945</v>
      </c>
      <c r="U19" s="446">
        <f t="shared" si="25"/>
        <v>4.8469029654813331</v>
      </c>
      <c r="V19" s="446">
        <f t="shared" si="12"/>
        <v>435.05859599999997</v>
      </c>
      <c r="W19" s="447">
        <f t="shared" si="12"/>
        <v>78.550575719999998</v>
      </c>
      <c r="X19" s="447">
        <f t="shared" si="26"/>
        <v>3.4926391995084143</v>
      </c>
      <c r="Y19" s="447">
        <f>L19+S19</f>
        <v>151.95027064726946</v>
      </c>
      <c r="Z19" s="447">
        <f t="shared" si="13"/>
        <v>230.50084636726945</v>
      </c>
      <c r="AA19" s="447">
        <f t="shared" si="14"/>
        <v>5.2981563515014294</v>
      </c>
      <c r="AF19">
        <v>1.784</v>
      </c>
      <c r="AG19">
        <f t="shared" si="32"/>
        <v>4.42</v>
      </c>
      <c r="AH19">
        <v>6.2039999999999997</v>
      </c>
    </row>
    <row r="20" spans="1:36" ht="15.75" x14ac:dyDescent="0.2">
      <c r="A20" s="974" t="s">
        <v>894</v>
      </c>
      <c r="B20" s="975">
        <v>61</v>
      </c>
      <c r="C20" s="1005">
        <f>3761.03-84-800</f>
        <v>2877.03</v>
      </c>
      <c r="D20" s="1005">
        <v>470.4</v>
      </c>
      <c r="E20" s="1005">
        <f>4.755-0.08</f>
        <v>4.6749999999999998</v>
      </c>
      <c r="F20" s="1005">
        <f>C20*E20/10</f>
        <v>1345.0115250000001</v>
      </c>
      <c r="G20" s="1006">
        <f>D20+F20</f>
        <v>1815.411525</v>
      </c>
      <c r="H20" s="1007">
        <f>G20/C20*10</f>
        <v>6.3100194471381945</v>
      </c>
      <c r="I20" s="446"/>
      <c r="J20" s="446"/>
      <c r="K20" s="446"/>
      <c r="L20" s="446"/>
      <c r="M20" s="446"/>
      <c r="N20" s="446"/>
      <c r="O20" s="978"/>
      <c r="P20" s="446"/>
      <c r="Q20" s="446"/>
      <c r="R20" s="446"/>
      <c r="S20" s="446"/>
      <c r="T20" s="446"/>
      <c r="U20" s="446"/>
      <c r="V20" s="446"/>
      <c r="W20" s="447"/>
      <c r="X20" s="447"/>
      <c r="Y20" s="447"/>
      <c r="Z20" s="447"/>
      <c r="AA20" s="447"/>
      <c r="AJ20">
        <f>D20/C20*10</f>
        <v>1.6350194471381942</v>
      </c>
    </row>
    <row r="21" spans="1:36" ht="31.5" x14ac:dyDescent="0.2">
      <c r="A21" s="988" t="s">
        <v>986</v>
      </c>
      <c r="B21" s="975">
        <v>48.7226</v>
      </c>
      <c r="C21" s="976">
        <v>363.06</v>
      </c>
      <c r="D21" s="976">
        <f t="shared" si="27"/>
        <v>29.407859999999999</v>
      </c>
      <c r="E21" s="976">
        <v>2.9420000000000002</v>
      </c>
      <c r="F21" s="976">
        <f t="shared" si="18"/>
        <v>106.81225200000002</v>
      </c>
      <c r="G21" s="977">
        <f t="shared" si="19"/>
        <v>136.22011200000003</v>
      </c>
      <c r="H21" s="998">
        <f t="shared" si="20"/>
        <v>3.7520000000000007</v>
      </c>
      <c r="I21" s="446">
        <f>'[12]Actuals apprd'!F44</f>
        <v>156.647690679698</v>
      </c>
      <c r="J21" s="446">
        <f>'[12]Actuals apprd'!G44</f>
        <v>16.392015000000001</v>
      </c>
      <c r="K21" s="446">
        <f t="shared" si="21"/>
        <v>2.5937966160688464</v>
      </c>
      <c r="L21" s="446">
        <f>'[12]Actuals apprd'!H44</f>
        <v>40.631225000000001</v>
      </c>
      <c r="M21" s="446">
        <f t="shared" si="22"/>
        <v>57.023240000000001</v>
      </c>
      <c r="N21" s="446">
        <f t="shared" si="23"/>
        <v>3.6402221923971445</v>
      </c>
      <c r="O21" s="978">
        <f t="shared" si="28"/>
        <v>359.538318</v>
      </c>
      <c r="P21" s="446">
        <f t="shared" si="24"/>
        <v>202.890627320302</v>
      </c>
      <c r="Q21" s="446">
        <f t="shared" si="29"/>
        <v>16.392015000000001</v>
      </c>
      <c r="R21" s="446"/>
      <c r="S21" s="446">
        <f t="shared" si="30"/>
        <v>52.625702257548468</v>
      </c>
      <c r="T21" s="446">
        <f t="shared" si="31"/>
        <v>69.017717257548469</v>
      </c>
      <c r="U21" s="446">
        <f t="shared" si="25"/>
        <v>3.4017203342069955</v>
      </c>
      <c r="V21" s="446">
        <f t="shared" si="12"/>
        <v>359.538318</v>
      </c>
      <c r="W21" s="447">
        <f t="shared" si="12"/>
        <v>32.784030000000001</v>
      </c>
      <c r="X21" s="447">
        <f t="shared" si="26"/>
        <v>2.5937966160688459</v>
      </c>
      <c r="Y21" s="447">
        <f t="shared" ref="Y21:Y28" si="33">L21+S21</f>
        <v>93.256927257548469</v>
      </c>
      <c r="Z21" s="447">
        <f t="shared" si="13"/>
        <v>126.04095725754847</v>
      </c>
      <c r="AA21" s="447">
        <f t="shared" si="14"/>
        <v>3.5056335012822881</v>
      </c>
      <c r="AF21">
        <v>0.81</v>
      </c>
      <c r="AG21">
        <f t="shared" si="32"/>
        <v>2.9419999999999997</v>
      </c>
      <c r="AH21">
        <v>3.7519999999999998</v>
      </c>
    </row>
    <row r="22" spans="1:36" ht="15.75" x14ac:dyDescent="0.2">
      <c r="A22" s="974" t="s">
        <v>987</v>
      </c>
      <c r="B22" s="975">
        <v>48.7226</v>
      </c>
      <c r="C22" s="976">
        <v>490.69</v>
      </c>
      <c r="D22" s="976">
        <v>39.799999999999997</v>
      </c>
      <c r="E22" s="976">
        <v>2.94</v>
      </c>
      <c r="F22" s="976">
        <f t="shared" si="18"/>
        <v>144.26285999999999</v>
      </c>
      <c r="G22" s="977">
        <f t="shared" si="19"/>
        <v>184.06286</v>
      </c>
      <c r="H22" s="998">
        <f t="shared" si="20"/>
        <v>3.751102732886344</v>
      </c>
      <c r="I22" s="446">
        <f>'[12]Actuals apprd'!F45</f>
        <v>217.494423488656</v>
      </c>
      <c r="J22" s="446">
        <f>'[12]Actuals apprd'!G45</f>
        <v>22.904916799999999</v>
      </c>
      <c r="K22" s="446">
        <f t="shared" si="21"/>
        <v>2.5924971958161924</v>
      </c>
      <c r="L22" s="446">
        <f>'[12]Actuals apprd'!H45</f>
        <v>56.385368300000003</v>
      </c>
      <c r="M22" s="446">
        <f t="shared" si="22"/>
        <v>79.290285100000006</v>
      </c>
      <c r="N22" s="446">
        <f t="shared" si="23"/>
        <v>3.6456238200578781</v>
      </c>
      <c r="O22" s="978">
        <f t="shared" si="28"/>
        <v>485.93030699999997</v>
      </c>
      <c r="P22" s="446">
        <f t="shared" si="24"/>
        <v>268.43588351134395</v>
      </c>
      <c r="Q22" s="446">
        <f t="shared" si="29"/>
        <v>22.904916799999999</v>
      </c>
      <c r="R22" s="446"/>
      <c r="S22" s="446">
        <f t="shared" si="30"/>
        <v>69.591927525960131</v>
      </c>
      <c r="T22" s="446">
        <f t="shared" si="31"/>
        <v>92.496844325960126</v>
      </c>
      <c r="U22" s="446">
        <f t="shared" si="25"/>
        <v>3.4457704803110372</v>
      </c>
      <c r="V22" s="446">
        <f t="shared" si="12"/>
        <v>485.93030699999997</v>
      </c>
      <c r="W22" s="447">
        <f t="shared" si="12"/>
        <v>45.809833599999997</v>
      </c>
      <c r="X22" s="447">
        <f t="shared" si="26"/>
        <v>2.5924971958161924</v>
      </c>
      <c r="Y22" s="447">
        <f t="shared" si="33"/>
        <v>125.97729582596014</v>
      </c>
      <c r="Z22" s="447">
        <f t="shared" si="13"/>
        <v>171.78712942596013</v>
      </c>
      <c r="AA22" s="447">
        <f t="shared" si="14"/>
        <v>3.5352215523770605</v>
      </c>
      <c r="AF22">
        <v>0.82</v>
      </c>
      <c r="AG22">
        <f t="shared" si="32"/>
        <v>2.9319999999999999</v>
      </c>
      <c r="AH22">
        <v>3.7519999999999998</v>
      </c>
    </row>
    <row r="23" spans="1:36" ht="31.5" x14ac:dyDescent="0.2">
      <c r="A23" s="988" t="s">
        <v>988</v>
      </c>
      <c r="B23" s="975">
        <v>48.7226</v>
      </c>
      <c r="C23" s="976">
        <v>348.37</v>
      </c>
      <c r="D23" s="976">
        <f t="shared" si="27"/>
        <v>35.882109999999997</v>
      </c>
      <c r="E23" s="976">
        <v>3.4750000000000001</v>
      </c>
      <c r="F23" s="976">
        <f t="shared" si="18"/>
        <v>121.05857499999999</v>
      </c>
      <c r="G23" s="977">
        <f t="shared" si="19"/>
        <v>156.94068499999997</v>
      </c>
      <c r="H23" s="998">
        <f t="shared" si="20"/>
        <v>4.504999999999999</v>
      </c>
      <c r="I23" s="446">
        <f>'[12]Actuals apprd'!F46</f>
        <v>98.404026810849999</v>
      </c>
      <c r="J23" s="446">
        <f>'[12]Actuals apprd'!G46</f>
        <v>13.763811</v>
      </c>
      <c r="K23" s="446">
        <f t="shared" si="21"/>
        <v>2.4703216004286221</v>
      </c>
      <c r="L23" s="446">
        <f>'[12]Actuals apprd'!H46</f>
        <v>24.308959300000001</v>
      </c>
      <c r="M23" s="446">
        <f t="shared" si="22"/>
        <v>38.072770300000002</v>
      </c>
      <c r="N23" s="446">
        <f t="shared" si="23"/>
        <v>3.8690256419264859</v>
      </c>
      <c r="O23" s="978">
        <f t="shared" si="28"/>
        <v>344.99081100000001</v>
      </c>
      <c r="P23" s="446">
        <f t="shared" si="24"/>
        <v>246.58678418915002</v>
      </c>
      <c r="Q23" s="446">
        <f t="shared" si="29"/>
        <v>13.763811</v>
      </c>
      <c r="R23" s="446"/>
      <c r="S23" s="446">
        <f t="shared" si="30"/>
        <v>60.914865936268839</v>
      </c>
      <c r="T23" s="446">
        <f t="shared" si="31"/>
        <v>74.678676936268843</v>
      </c>
      <c r="U23" s="446">
        <f t="shared" si="25"/>
        <v>3.0284947014429155</v>
      </c>
      <c r="V23" s="446">
        <f t="shared" si="12"/>
        <v>344.99081100000001</v>
      </c>
      <c r="W23" s="447">
        <f t="shared" si="12"/>
        <v>27.527622000000001</v>
      </c>
      <c r="X23" s="447">
        <f t="shared" si="26"/>
        <v>2.4703216004286226</v>
      </c>
      <c r="Y23" s="447">
        <f t="shared" si="33"/>
        <v>85.223825236268837</v>
      </c>
      <c r="Z23" s="447">
        <f t="shared" si="13"/>
        <v>112.75144723626883</v>
      </c>
      <c r="AA23" s="447">
        <f t="shared" si="14"/>
        <v>3.2682449398998292</v>
      </c>
      <c r="AF23">
        <v>1.03</v>
      </c>
      <c r="AG23">
        <f t="shared" si="32"/>
        <v>3.4749999999999996</v>
      </c>
      <c r="AH23">
        <v>4.5049999999999999</v>
      </c>
    </row>
    <row r="24" spans="1:36" ht="15.75" x14ac:dyDescent="0.2">
      <c r="A24" s="974" t="s">
        <v>989</v>
      </c>
      <c r="B24" s="975">
        <v>48.7226</v>
      </c>
      <c r="C24" s="976">
        <v>291.89999999999998</v>
      </c>
      <c r="D24" s="976">
        <f t="shared" si="27"/>
        <v>68.596499999999992</v>
      </c>
      <c r="E24" s="976">
        <v>2.956</v>
      </c>
      <c r="F24" s="976">
        <f t="shared" si="18"/>
        <v>86.285639999999987</v>
      </c>
      <c r="G24" s="977">
        <f t="shared" si="19"/>
        <v>154.88213999999999</v>
      </c>
      <c r="H24" s="998">
        <f t="shared" si="20"/>
        <v>5.3059999999999992</v>
      </c>
      <c r="I24" s="446">
        <f>'[12]Actuals apprd'!F47</f>
        <v>63.919122791403993</v>
      </c>
      <c r="J24" s="446">
        <f>'[12]Actuals apprd'!G47</f>
        <v>17.429225500000001</v>
      </c>
      <c r="K24" s="446">
        <f t="shared" si="21"/>
        <v>2.5510420806639851</v>
      </c>
      <c r="L24" s="446">
        <f>'[12]Actuals apprd'!H47</f>
        <v>16.306037199999999</v>
      </c>
      <c r="M24" s="446">
        <f t="shared" si="22"/>
        <v>33.7352627</v>
      </c>
      <c r="N24" s="446">
        <f t="shared" si="23"/>
        <v>5.2778043919802986</v>
      </c>
      <c r="O24" s="978">
        <f t="shared" si="28"/>
        <v>289.06856999999997</v>
      </c>
      <c r="P24" s="446">
        <f t="shared" si="24"/>
        <v>225.14944720859597</v>
      </c>
      <c r="Q24" s="446">
        <f t="shared" si="29"/>
        <v>17.429225500000001</v>
      </c>
      <c r="R24" s="446"/>
      <c r="S24" s="446">
        <f t="shared" si="30"/>
        <v>57.436571426736272</v>
      </c>
      <c r="T24" s="446">
        <f t="shared" si="31"/>
        <v>74.865796926736266</v>
      </c>
      <c r="U24" s="446">
        <f t="shared" si="25"/>
        <v>3.3251601482891835</v>
      </c>
      <c r="V24" s="446">
        <f t="shared" si="12"/>
        <v>289.06856999999997</v>
      </c>
      <c r="W24" s="447">
        <f t="shared" si="12"/>
        <v>34.858451000000002</v>
      </c>
      <c r="X24" s="447">
        <f t="shared" si="26"/>
        <v>2.5510420806639851</v>
      </c>
      <c r="Y24" s="447">
        <f t="shared" si="33"/>
        <v>73.742608626736271</v>
      </c>
      <c r="Z24" s="447">
        <f t="shared" si="13"/>
        <v>108.60105962673627</v>
      </c>
      <c r="AA24" s="447">
        <f t="shared" si="14"/>
        <v>3.7569307388463673</v>
      </c>
      <c r="AF24">
        <v>2.35</v>
      </c>
      <c r="AG24">
        <f t="shared" si="32"/>
        <v>2.956</v>
      </c>
      <c r="AH24">
        <v>5.306</v>
      </c>
    </row>
    <row r="25" spans="1:36" ht="31.5" x14ac:dyDescent="0.2">
      <c r="A25" s="988" t="s">
        <v>990</v>
      </c>
      <c r="B25" s="975">
        <v>48.7226</v>
      </c>
      <c r="C25" s="976">
        <v>585.78</v>
      </c>
      <c r="D25" s="976">
        <f t="shared" si="27"/>
        <v>91.498835999999997</v>
      </c>
      <c r="E25" s="976">
        <v>4.34</v>
      </c>
      <c r="F25" s="976">
        <f t="shared" si="18"/>
        <v>254.22851999999997</v>
      </c>
      <c r="G25" s="977">
        <f t="shared" si="19"/>
        <v>345.72735599999999</v>
      </c>
      <c r="H25" s="998">
        <f t="shared" si="20"/>
        <v>5.902000000000001</v>
      </c>
      <c r="I25" s="446">
        <f>'[12]Actuals apprd'!$F$52</f>
        <v>221.89816337010598</v>
      </c>
      <c r="J25" s="446">
        <f>'[12]Actuals apprd'!$G$52</f>
        <v>50.686374299999997</v>
      </c>
      <c r="K25" s="446">
        <f t="shared" si="21"/>
        <v>3.4374123220109447</v>
      </c>
      <c r="L25" s="446">
        <f>'[12]Actuals apprd'!$H$52</f>
        <v>76.275548099999995</v>
      </c>
      <c r="M25" s="446">
        <f t="shared" si="22"/>
        <v>126.96192239999999</v>
      </c>
      <c r="N25" s="446">
        <f t="shared" si="23"/>
        <v>5.7216301600585595</v>
      </c>
      <c r="O25" s="978">
        <f t="shared" si="28"/>
        <v>580.09793400000001</v>
      </c>
      <c r="P25" s="446">
        <f t="shared" si="24"/>
        <v>358.19977062989403</v>
      </c>
      <c r="Q25" s="446">
        <f t="shared" si="29"/>
        <v>50.686374299999997</v>
      </c>
      <c r="R25" s="446"/>
      <c r="S25" s="446">
        <f t="shared" si="30"/>
        <v>123.12803053046919</v>
      </c>
      <c r="T25" s="446">
        <f t="shared" si="31"/>
        <v>173.81440483046919</v>
      </c>
      <c r="U25" s="446">
        <f t="shared" si="25"/>
        <v>4.8524432197378768</v>
      </c>
      <c r="V25" s="446">
        <f t="shared" si="12"/>
        <v>580.09793400000001</v>
      </c>
      <c r="W25" s="447">
        <f t="shared" si="12"/>
        <v>101.37274859999999</v>
      </c>
      <c r="X25" s="447">
        <f t="shared" si="26"/>
        <v>3.4374123220109447</v>
      </c>
      <c r="Y25" s="447">
        <f t="shared" si="33"/>
        <v>199.40357863046918</v>
      </c>
      <c r="Z25" s="447">
        <f t="shared" si="13"/>
        <v>300.77632723046918</v>
      </c>
      <c r="AA25" s="447">
        <f t="shared" si="14"/>
        <v>5.1849232621205852</v>
      </c>
      <c r="AF25">
        <v>1.5620000000000001</v>
      </c>
      <c r="AG25">
        <f t="shared" si="32"/>
        <v>4.34</v>
      </c>
      <c r="AH25">
        <v>5.9020000000000001</v>
      </c>
    </row>
    <row r="26" spans="1:36" ht="15.75" x14ac:dyDescent="0.2">
      <c r="A26" s="974" t="s">
        <v>991</v>
      </c>
      <c r="B26" s="975">
        <v>48.7226</v>
      </c>
      <c r="C26" s="976">
        <v>99.56</v>
      </c>
      <c r="D26" s="976"/>
      <c r="E26" s="976">
        <v>2.9</v>
      </c>
      <c r="F26" s="976">
        <f t="shared" si="18"/>
        <v>28.872399999999999</v>
      </c>
      <c r="G26" s="977">
        <f t="shared" si="19"/>
        <v>28.872399999999999</v>
      </c>
      <c r="H26" s="998">
        <f t="shared" si="20"/>
        <v>2.9</v>
      </c>
      <c r="I26" s="446">
        <f>'[12]Actuals apprd'!$F$49</f>
        <v>31.113178536740001</v>
      </c>
      <c r="J26" s="445"/>
      <c r="K26" s="446">
        <f t="shared" si="21"/>
        <v>2.8681223500603488</v>
      </c>
      <c r="L26" s="446">
        <f>'[12]Actuals apprd'!$K$49</f>
        <v>8.9236402742641925</v>
      </c>
      <c r="M26" s="446">
        <f t="shared" si="22"/>
        <v>8.9236402742641925</v>
      </c>
      <c r="N26" s="446">
        <f t="shared" si="23"/>
        <v>2.8681223500603488</v>
      </c>
      <c r="O26" s="978">
        <f t="shared" si="28"/>
        <v>98.594268</v>
      </c>
      <c r="P26" s="446">
        <f t="shared" si="24"/>
        <v>67.481089463259991</v>
      </c>
      <c r="Q26" s="446">
        <f t="shared" si="29"/>
        <v>0</v>
      </c>
      <c r="R26" s="446"/>
      <c r="S26" s="446">
        <f t="shared" si="30"/>
        <v>19.354402089599787</v>
      </c>
      <c r="T26" s="446">
        <f t="shared" si="31"/>
        <v>19.354402089599787</v>
      </c>
      <c r="U26" s="446">
        <f t="shared" si="25"/>
        <v>2.8681223500603488</v>
      </c>
      <c r="V26" s="446">
        <f t="shared" si="12"/>
        <v>98.594268</v>
      </c>
      <c r="W26" s="447">
        <f t="shared" si="12"/>
        <v>0</v>
      </c>
      <c r="X26" s="447">
        <f t="shared" si="26"/>
        <v>2.8681223500603488</v>
      </c>
      <c r="Y26" s="447">
        <f t="shared" si="33"/>
        <v>28.278042363863982</v>
      </c>
      <c r="Z26" s="447">
        <f t="shared" si="13"/>
        <v>28.278042363863982</v>
      </c>
      <c r="AA26" s="447">
        <f t="shared" si="14"/>
        <v>2.8681223500603488</v>
      </c>
      <c r="AF26">
        <f>D26/C26*10</f>
        <v>0</v>
      </c>
    </row>
    <row r="27" spans="1:36" ht="15.75" x14ac:dyDescent="0.2">
      <c r="A27" s="974" t="s">
        <v>992</v>
      </c>
      <c r="B27" s="975">
        <v>48.7226</v>
      </c>
      <c r="C27" s="976">
        <f>429.3+451.18</f>
        <v>880.48</v>
      </c>
      <c r="D27" s="976"/>
      <c r="E27" s="976">
        <v>3.85</v>
      </c>
      <c r="F27" s="976">
        <f>C27*E27/10</f>
        <v>338.98480000000001</v>
      </c>
      <c r="G27" s="977">
        <f>D27+F27</f>
        <v>338.98480000000001</v>
      </c>
      <c r="H27" s="998">
        <f>G27/C27*10</f>
        <v>3.85</v>
      </c>
      <c r="I27" s="446">
        <f>'[12]Actuals apprd'!$F$50</f>
        <v>538.24094065265001</v>
      </c>
      <c r="J27" s="445"/>
      <c r="K27" s="446">
        <f t="shared" si="21"/>
        <v>3.8005108086796531</v>
      </c>
      <c r="L27" s="446">
        <f>'[12]Actuals apprd'!$H$50</f>
        <v>204.55905126242999</v>
      </c>
      <c r="M27" s="446">
        <f t="shared" si="22"/>
        <v>204.55905126242999</v>
      </c>
      <c r="N27" s="446">
        <f t="shared" si="23"/>
        <v>3.8005108086796531</v>
      </c>
      <c r="O27" s="978">
        <f>872.63-(872.63*0.97%)</f>
        <v>864.16548899999998</v>
      </c>
      <c r="P27" s="446">
        <f t="shared" si="24"/>
        <v>325.92454834734997</v>
      </c>
      <c r="Q27" s="446">
        <f t="shared" si="29"/>
        <v>0</v>
      </c>
      <c r="R27" s="446"/>
      <c r="S27" s="446">
        <f t="shared" si="30"/>
        <v>123.86797688081376</v>
      </c>
      <c r="T27" s="446">
        <f t="shared" si="31"/>
        <v>123.86797688081376</v>
      </c>
      <c r="U27" s="446">
        <f t="shared" si="25"/>
        <v>3.8005108086796522</v>
      </c>
      <c r="V27" s="446">
        <f t="shared" si="12"/>
        <v>864.16548899999998</v>
      </c>
      <c r="W27" s="447">
        <f t="shared" si="12"/>
        <v>0</v>
      </c>
      <c r="X27" s="447">
        <f t="shared" si="26"/>
        <v>3.8005108086796531</v>
      </c>
      <c r="Y27" s="447">
        <f t="shared" si="33"/>
        <v>328.42702814324377</v>
      </c>
      <c r="Z27" s="447">
        <f t="shared" si="13"/>
        <v>328.42702814324377</v>
      </c>
      <c r="AA27" s="447">
        <f t="shared" si="14"/>
        <v>3.8005108086796531</v>
      </c>
      <c r="AF27">
        <f>D27/C27*10</f>
        <v>0</v>
      </c>
    </row>
    <row r="28" spans="1:36" ht="15.75" x14ac:dyDescent="0.2">
      <c r="A28" s="974" t="s">
        <v>993</v>
      </c>
      <c r="B28" s="975">
        <v>48.7226</v>
      </c>
      <c r="C28" s="976"/>
      <c r="D28" s="976"/>
      <c r="E28" s="976"/>
      <c r="F28" s="976">
        <f t="shared" si="18"/>
        <v>0</v>
      </c>
      <c r="G28" s="977">
        <f t="shared" si="19"/>
        <v>0</v>
      </c>
      <c r="H28" s="998" t="e">
        <f t="shared" si="20"/>
        <v>#DIV/0!</v>
      </c>
      <c r="I28" s="445"/>
      <c r="J28" s="445"/>
      <c r="K28" s="446"/>
      <c r="L28" s="445"/>
      <c r="M28" s="446">
        <f t="shared" si="22"/>
        <v>0</v>
      </c>
      <c r="N28" s="446"/>
      <c r="O28" s="978"/>
      <c r="P28" s="446"/>
      <c r="Q28" s="446"/>
      <c r="R28" s="446"/>
      <c r="S28" s="446"/>
      <c r="T28" s="446"/>
      <c r="U28" s="446"/>
      <c r="V28" s="446">
        <f t="shared" si="12"/>
        <v>0</v>
      </c>
      <c r="W28" s="447">
        <f t="shared" si="12"/>
        <v>0</v>
      </c>
      <c r="X28" s="447"/>
      <c r="Y28" s="447">
        <f t="shared" si="33"/>
        <v>0</v>
      </c>
      <c r="Z28" s="447">
        <f t="shared" si="13"/>
        <v>0</v>
      </c>
      <c r="AA28" s="447"/>
      <c r="AF28" t="e">
        <f>D28/C28*10</f>
        <v>#DIV/0!</v>
      </c>
    </row>
    <row r="29" spans="1:36" ht="31.5" x14ac:dyDescent="0.2">
      <c r="A29" s="974" t="s">
        <v>994</v>
      </c>
      <c r="B29" s="975">
        <v>48.7226</v>
      </c>
      <c r="C29" s="976">
        <v>469.56</v>
      </c>
      <c r="D29" s="976"/>
      <c r="E29" s="976">
        <v>4.2</v>
      </c>
      <c r="F29" s="976">
        <f t="shared" si="18"/>
        <v>197.21520000000001</v>
      </c>
      <c r="G29" s="977">
        <f t="shared" si="19"/>
        <v>197.21520000000001</v>
      </c>
      <c r="H29" s="998">
        <f t="shared" si="20"/>
        <v>4.2</v>
      </c>
      <c r="I29" s="446">
        <f>'[12]Actuals apprd'!$F$58</f>
        <v>314.53111283600197</v>
      </c>
      <c r="J29" s="445"/>
      <c r="K29" s="446">
        <f t="shared" si="21"/>
        <v>4.6768394217534848</v>
      </c>
      <c r="L29" s="446">
        <f>'[12]Actuals apprd'!$K$58</f>
        <v>147.10115078794075</v>
      </c>
      <c r="M29" s="446">
        <f t="shared" si="22"/>
        <v>147.10115078794075</v>
      </c>
      <c r="N29" s="446">
        <f t="shared" si="23"/>
        <v>4.6768394217534848</v>
      </c>
      <c r="O29" s="978">
        <f>875.06-(875.06*0.97%)</f>
        <v>866.57191799999998</v>
      </c>
      <c r="P29" s="446">
        <f t="shared" si="24"/>
        <v>552.04080516399802</v>
      </c>
      <c r="Q29" s="446"/>
      <c r="R29" s="446"/>
      <c r="S29" s="446"/>
      <c r="T29" s="446">
        <f>P29*N29/10</f>
        <v>258.18062000075207</v>
      </c>
      <c r="U29" s="446">
        <f t="shared" si="25"/>
        <v>4.6768394217534848</v>
      </c>
      <c r="V29" s="446">
        <f t="shared" si="12"/>
        <v>866.57191799999998</v>
      </c>
      <c r="W29" s="447">
        <f t="shared" si="12"/>
        <v>0</v>
      </c>
      <c r="X29" s="447">
        <f t="shared" si="26"/>
        <v>4.6768394217534848</v>
      </c>
      <c r="Y29" s="447">
        <f>M29+T29</f>
        <v>405.28177078869282</v>
      </c>
      <c r="Z29" s="447">
        <f t="shared" si="13"/>
        <v>405.28177078869282</v>
      </c>
      <c r="AA29" s="447">
        <f t="shared" si="14"/>
        <v>4.6768394217534848</v>
      </c>
      <c r="AF29">
        <f>D29/C29*10</f>
        <v>0</v>
      </c>
    </row>
    <row r="30" spans="1:36" ht="31.5" x14ac:dyDescent="0.2">
      <c r="A30" s="988" t="s">
        <v>995</v>
      </c>
      <c r="B30" s="975">
        <v>48.7226</v>
      </c>
      <c r="C30" s="976">
        <v>620.22</v>
      </c>
      <c r="D30" s="976"/>
      <c r="E30" s="976">
        <v>4.2</v>
      </c>
      <c r="F30" s="976">
        <f t="shared" si="18"/>
        <v>260.49240000000003</v>
      </c>
      <c r="G30" s="977">
        <f t="shared" si="19"/>
        <v>260.49240000000003</v>
      </c>
      <c r="H30" s="998">
        <f t="shared" si="20"/>
        <v>4.2</v>
      </c>
      <c r="I30" s="445"/>
      <c r="J30" s="445"/>
      <c r="K30" s="446"/>
      <c r="L30" s="445"/>
      <c r="M30" s="446">
        <f t="shared" si="22"/>
        <v>0</v>
      </c>
      <c r="N30" s="446"/>
      <c r="O30" s="978"/>
      <c r="P30" s="446">
        <f t="shared" si="24"/>
        <v>0</v>
      </c>
      <c r="Q30" s="446"/>
      <c r="R30" s="446"/>
      <c r="S30" s="446"/>
      <c r="T30" s="446"/>
      <c r="U30" s="446"/>
      <c r="V30" s="446">
        <f t="shared" si="12"/>
        <v>0</v>
      </c>
      <c r="W30" s="447">
        <f t="shared" si="12"/>
        <v>0</v>
      </c>
      <c r="X30" s="447"/>
      <c r="Y30" s="447">
        <f>L30+S30</f>
        <v>0</v>
      </c>
      <c r="Z30" s="447">
        <f t="shared" si="13"/>
        <v>0</v>
      </c>
      <c r="AA30" s="447"/>
      <c r="AF30">
        <f>D30/C30*10</f>
        <v>0</v>
      </c>
    </row>
    <row r="31" spans="1:36" ht="15.75" x14ac:dyDescent="0.2">
      <c r="A31" s="974" t="s">
        <v>1044</v>
      </c>
      <c r="B31" s="975">
        <v>48.7226</v>
      </c>
      <c r="C31" s="976">
        <v>725.58</v>
      </c>
      <c r="D31" s="976">
        <f>C31*1.44/10</f>
        <v>104.48352</v>
      </c>
      <c r="E31" s="976">
        <v>2.42</v>
      </c>
      <c r="F31" s="976">
        <f t="shared" si="18"/>
        <v>175.59036</v>
      </c>
      <c r="G31" s="977">
        <f t="shared" si="19"/>
        <v>280.07388000000003</v>
      </c>
      <c r="H31" s="998">
        <f t="shared" si="20"/>
        <v>3.8600000000000003</v>
      </c>
      <c r="I31" s="989">
        <f>'[12]Actuals apprd'!$F$62</f>
        <v>628.57473545572202</v>
      </c>
      <c r="J31" s="446">
        <f>'[12]Actuals apprd'!$G$62</f>
        <v>104.970311</v>
      </c>
      <c r="K31" s="446">
        <f t="shared" si="21"/>
        <v>2.2215222729045947</v>
      </c>
      <c r="L31" s="446">
        <f>'[12]Actuals apprd'!$H$62</f>
        <v>139.63927749999999</v>
      </c>
      <c r="M31" s="446">
        <f t="shared" si="22"/>
        <v>244.60958849999997</v>
      </c>
      <c r="N31" s="446">
        <f t="shared" si="23"/>
        <v>3.8914957077085823</v>
      </c>
      <c r="O31" s="978">
        <f>(C31+C32)-(1595.91*0.97%)</f>
        <v>1620.0696730000002</v>
      </c>
      <c r="P31" s="446">
        <f t="shared" si="24"/>
        <v>991.49493754427817</v>
      </c>
      <c r="Q31" s="446">
        <v>104.97</v>
      </c>
      <c r="R31" s="446"/>
      <c r="S31" s="446">
        <f>P31*K31/10</f>
        <v>220.2628087226764</v>
      </c>
      <c r="T31" s="446">
        <f>Q31+S31</f>
        <v>325.2328087226764</v>
      </c>
      <c r="U31" s="446">
        <f t="shared" si="25"/>
        <v>3.2802266194944858</v>
      </c>
      <c r="V31" s="446">
        <f t="shared" si="12"/>
        <v>1620.0696730000002</v>
      </c>
      <c r="W31" s="447">
        <f t="shared" si="12"/>
        <v>209.94031100000001</v>
      </c>
      <c r="X31" s="447">
        <f t="shared" si="26"/>
        <v>2.2215222729045951</v>
      </c>
      <c r="Y31" s="447">
        <f>L31+S31</f>
        <v>359.90208622267642</v>
      </c>
      <c r="Z31" s="447">
        <f t="shared" si="13"/>
        <v>569.84239722267648</v>
      </c>
      <c r="AA31" s="447">
        <f t="shared" si="14"/>
        <v>3.5173943856837839</v>
      </c>
      <c r="AF31">
        <v>1.44</v>
      </c>
      <c r="AG31">
        <f>AH31-AF31</f>
        <v>2.42</v>
      </c>
      <c r="AH31">
        <v>3.86</v>
      </c>
    </row>
    <row r="32" spans="1:36" ht="15.75" x14ac:dyDescent="0.2">
      <c r="A32" s="974" t="s">
        <v>1045</v>
      </c>
      <c r="B32" s="975">
        <v>48.7226</v>
      </c>
      <c r="C32" s="976">
        <v>909.97</v>
      </c>
      <c r="D32" s="976">
        <f>C32*1.67/10</f>
        <v>151.96499</v>
      </c>
      <c r="E32" s="976">
        <v>2.19</v>
      </c>
      <c r="F32" s="976">
        <f t="shared" si="18"/>
        <v>199.28343000000001</v>
      </c>
      <c r="G32" s="977">
        <f t="shared" si="19"/>
        <v>351.24842000000001</v>
      </c>
      <c r="H32" s="998">
        <f t="shared" si="20"/>
        <v>3.8600000000000003</v>
      </c>
      <c r="I32" s="991"/>
      <c r="J32" s="445"/>
      <c r="K32" s="446"/>
      <c r="L32" s="445"/>
      <c r="M32" s="446">
        <f t="shared" si="22"/>
        <v>0</v>
      </c>
      <c r="N32" s="446"/>
      <c r="O32" s="978"/>
      <c r="P32" s="446"/>
      <c r="Q32" s="446"/>
      <c r="R32" s="446"/>
      <c r="S32" s="446"/>
      <c r="T32" s="446"/>
      <c r="U32" s="446"/>
      <c r="V32" s="446">
        <f t="shared" si="12"/>
        <v>0</v>
      </c>
      <c r="W32" s="447">
        <f t="shared" si="12"/>
        <v>0</v>
      </c>
      <c r="X32" s="447"/>
      <c r="Y32" s="447">
        <f>L32+S32</f>
        <v>0</v>
      </c>
      <c r="Z32" s="447">
        <f t="shared" si="13"/>
        <v>0</v>
      </c>
      <c r="AA32" s="447"/>
      <c r="AF32">
        <v>1.67</v>
      </c>
      <c r="AG32">
        <f>AH32-AF32</f>
        <v>2.19</v>
      </c>
      <c r="AH32">
        <v>3.86</v>
      </c>
    </row>
    <row r="33" spans="1:35" x14ac:dyDescent="0.2">
      <c r="I33" s="446">
        <f>'[12]Actuals apprd'!$F$63</f>
        <v>179.19175990999997</v>
      </c>
      <c r="J33" s="446">
        <f>'[12]Actuals apprd'!$G$63</f>
        <v>248.05688810000001</v>
      </c>
      <c r="K33" s="446">
        <f t="shared" si="21"/>
        <v>2.9506254208650908</v>
      </c>
      <c r="L33" s="446">
        <f>'[12]Actuals apprd'!$H$63</f>
        <v>52.872776199999997</v>
      </c>
      <c r="M33" s="446">
        <f t="shared" si="22"/>
        <v>300.92966430000001</v>
      </c>
      <c r="N33" s="446">
        <f t="shared" si="23"/>
        <v>16.793722236510405</v>
      </c>
      <c r="O33" s="978">
        <f>C20-(C20*0.97%)</f>
        <v>2849.1228090000004</v>
      </c>
      <c r="P33" s="446">
        <f t="shared" si="24"/>
        <v>2669.9310490900007</v>
      </c>
      <c r="Q33" s="446">
        <f>J33</f>
        <v>248.05688810000001</v>
      </c>
      <c r="R33" s="446"/>
      <c r="S33" s="446">
        <f>P33*K33/10</f>
        <v>787.79664254019576</v>
      </c>
      <c r="T33" s="446">
        <f>Q33+S33</f>
        <v>1035.8535306401957</v>
      </c>
      <c r="U33" s="446">
        <f t="shared" si="25"/>
        <v>3.8797014289685432</v>
      </c>
      <c r="V33" s="446">
        <f t="shared" si="12"/>
        <v>2849.1228090000004</v>
      </c>
      <c r="W33" s="447">
        <f t="shared" si="12"/>
        <v>496.11377620000002</v>
      </c>
      <c r="X33" s="447">
        <f t="shared" si="26"/>
        <v>2.9506254208650913</v>
      </c>
      <c r="Y33" s="447">
        <f>L33+S33</f>
        <v>840.66941874019574</v>
      </c>
      <c r="Z33" s="447">
        <f t="shared" si="13"/>
        <v>1336.7831949401957</v>
      </c>
      <c r="AA33" s="447">
        <f t="shared" si="14"/>
        <v>4.6919114568086542</v>
      </c>
      <c r="AF33">
        <v>1.552</v>
      </c>
      <c r="AG33">
        <f>AH33-AF33</f>
        <v>4.7550000000000008</v>
      </c>
      <c r="AH33">
        <v>6.3070000000000004</v>
      </c>
    </row>
    <row r="34" spans="1:35" ht="15.75" x14ac:dyDescent="0.2">
      <c r="A34" s="974" t="s">
        <v>1046</v>
      </c>
      <c r="B34" s="975"/>
      <c r="C34" s="976">
        <v>233</v>
      </c>
      <c r="D34" s="976"/>
      <c r="E34" s="976">
        <v>4.04</v>
      </c>
      <c r="F34" s="976">
        <f t="shared" si="18"/>
        <v>94.132000000000005</v>
      </c>
      <c r="G34" s="977">
        <f t="shared" si="19"/>
        <v>94.132000000000005</v>
      </c>
      <c r="H34" s="998">
        <f t="shared" si="20"/>
        <v>4.04</v>
      </c>
      <c r="I34" s="446"/>
      <c r="J34" s="446"/>
      <c r="K34" s="446"/>
      <c r="L34" s="446"/>
      <c r="M34" s="446"/>
      <c r="N34" s="446"/>
      <c r="O34" s="978"/>
      <c r="P34" s="446"/>
      <c r="Q34" s="446"/>
      <c r="R34" s="446"/>
      <c r="S34" s="446"/>
      <c r="T34" s="446"/>
      <c r="U34" s="446"/>
      <c r="V34" s="446"/>
      <c r="W34" s="447"/>
      <c r="X34" s="447"/>
      <c r="Y34" s="447"/>
      <c r="Z34" s="447"/>
      <c r="AA34" s="447"/>
    </row>
    <row r="35" spans="1:35" ht="15.75" x14ac:dyDescent="0.2">
      <c r="A35" s="974" t="s">
        <v>1047</v>
      </c>
      <c r="B35" s="975"/>
      <c r="C35" s="976">
        <f>960-90</f>
        <v>870</v>
      </c>
      <c r="D35" s="976"/>
      <c r="E35" s="976">
        <v>2.96</v>
      </c>
      <c r="F35" s="976">
        <f t="shared" si="18"/>
        <v>257.52</v>
      </c>
      <c r="G35" s="977">
        <f t="shared" si="19"/>
        <v>257.52</v>
      </c>
      <c r="H35" s="998">
        <f t="shared" si="20"/>
        <v>2.96</v>
      </c>
      <c r="I35" s="446"/>
      <c r="J35" s="446"/>
      <c r="K35" s="446"/>
      <c r="L35" s="446"/>
      <c r="M35" s="446"/>
      <c r="N35" s="446"/>
      <c r="O35" s="978"/>
      <c r="P35" s="446"/>
      <c r="Q35" s="446"/>
      <c r="R35" s="446"/>
      <c r="S35" s="446"/>
      <c r="T35" s="446"/>
      <c r="U35" s="446"/>
      <c r="V35" s="446"/>
      <c r="W35" s="447"/>
      <c r="X35" s="447"/>
      <c r="Y35" s="447"/>
      <c r="Z35" s="447"/>
      <c r="AA35" s="447"/>
    </row>
    <row r="36" spans="1:35" ht="15.75" x14ac:dyDescent="0.2">
      <c r="A36" s="974" t="s">
        <v>998</v>
      </c>
      <c r="B36" s="975"/>
      <c r="C36" s="976"/>
      <c r="D36" s="976"/>
      <c r="E36" s="976"/>
      <c r="F36" s="976">
        <f t="shared" si="18"/>
        <v>0</v>
      </c>
      <c r="G36" s="977">
        <f t="shared" si="19"/>
        <v>0</v>
      </c>
      <c r="H36" s="998"/>
      <c r="I36" s="446">
        <f>'[12]Actuals apprd'!$F$103</f>
        <v>-39.512526036248197</v>
      </c>
      <c r="J36" s="446"/>
      <c r="K36" s="446"/>
      <c r="L36" s="446"/>
      <c r="M36" s="446">
        <f>'[12]Actuals apprd'!$N$103</f>
        <v>-7.4140898999999996</v>
      </c>
      <c r="N36" s="446">
        <f t="shared" si="23"/>
        <v>1.8763897537703422</v>
      </c>
      <c r="O36" s="978"/>
      <c r="P36" s="446">
        <v>95.51</v>
      </c>
      <c r="Q36" s="446"/>
      <c r="R36" s="446"/>
      <c r="S36" s="446"/>
      <c r="T36" s="446">
        <f>P36*3.05/10</f>
        <v>29.130549999999999</v>
      </c>
      <c r="U36" s="446">
        <f t="shared" si="25"/>
        <v>3.05</v>
      </c>
      <c r="V36" s="446">
        <f t="shared" si="12"/>
        <v>55.997473963751808</v>
      </c>
      <c r="W36" s="447">
        <f t="shared" si="12"/>
        <v>0</v>
      </c>
      <c r="X36" s="447"/>
      <c r="Y36" s="447">
        <f>T36+M36</f>
        <v>21.716460099999999</v>
      </c>
      <c r="Z36" s="447">
        <f t="shared" si="13"/>
        <v>21.716460099999999</v>
      </c>
      <c r="AA36" s="447">
        <f t="shared" si="14"/>
        <v>3.8781142367345822</v>
      </c>
    </row>
    <row r="37" spans="1:35" ht="15.75" x14ac:dyDescent="0.2">
      <c r="A37" s="979" t="s">
        <v>999</v>
      </c>
      <c r="B37" s="980"/>
      <c r="C37" s="981">
        <f>SUM(C15:C35)</f>
        <v>13403.719999999998</v>
      </c>
      <c r="D37" s="981">
        <f>SUM(D15:D35)</f>
        <v>1344.795314</v>
      </c>
      <c r="E37" s="981">
        <v>2.72</v>
      </c>
      <c r="F37" s="981">
        <f>SUM(F15:F35)</f>
        <v>4683.0945018000002</v>
      </c>
      <c r="G37" s="981">
        <f>SUM(G15:G35)</f>
        <v>6027.8898157999993</v>
      </c>
      <c r="H37" s="983">
        <f>G37/C37*10</f>
        <v>4.4971767657038502</v>
      </c>
      <c r="I37" s="490">
        <f>SUM(I15:I36)</f>
        <v>4004.8631388147796</v>
      </c>
      <c r="J37" s="490">
        <f>SUM(J15:J33)</f>
        <v>646.64729815999999</v>
      </c>
      <c r="K37" s="490">
        <f t="shared" si="21"/>
        <v>2.8410011905209727</v>
      </c>
      <c r="L37" s="490">
        <f>SUM(L15:L33)</f>
        <v>1137.7820945246349</v>
      </c>
      <c r="M37" s="490">
        <f>SUM(M15:M36)</f>
        <v>1777.0153027846352</v>
      </c>
      <c r="N37" s="490">
        <f t="shared" si="23"/>
        <v>4.4371436455891837</v>
      </c>
      <c r="O37" s="992">
        <f>SUM(O15:O33)</f>
        <v>11961.376453000001</v>
      </c>
      <c r="P37" s="490">
        <f>SUM(P15:P36)</f>
        <v>8012.5107881489739</v>
      </c>
      <c r="Q37" s="490">
        <f>SUM(Q15:Q33)</f>
        <v>646.64698715999998</v>
      </c>
      <c r="R37" s="490">
        <f>SUM(R15:R33)</f>
        <v>0</v>
      </c>
      <c r="S37" s="490">
        <f>SUM(S15:S33)</f>
        <v>1999.0877703998976</v>
      </c>
      <c r="T37" s="490">
        <f>SUM(T15:T36)</f>
        <v>2933.045927560649</v>
      </c>
      <c r="U37" s="446">
        <f t="shared" si="25"/>
        <v>3.6605828124422812</v>
      </c>
      <c r="V37" s="490">
        <f t="shared" si="12"/>
        <v>12017.373926963754</v>
      </c>
      <c r="W37" s="490">
        <f>SUM(W15:W36)</f>
        <v>1293.29428532</v>
      </c>
      <c r="X37" s="447">
        <f t="shared" si="26"/>
        <v>2.843189340525536</v>
      </c>
      <c r="Y37" s="490">
        <f>SUM(Y15:Y36)</f>
        <v>3416.7669450252843</v>
      </c>
      <c r="Z37" s="490">
        <f>SUM(Z15:Z36)</f>
        <v>4710.0612303452854</v>
      </c>
      <c r="AA37" s="985">
        <f t="shared" si="14"/>
        <v>3.9193764452790929</v>
      </c>
    </row>
    <row r="38" spans="1:35" ht="15.75" x14ac:dyDescent="0.2">
      <c r="A38" s="974" t="s">
        <v>1000</v>
      </c>
      <c r="B38" s="986"/>
      <c r="C38" s="986"/>
      <c r="D38" s="986"/>
      <c r="E38" s="986"/>
      <c r="F38" s="986"/>
      <c r="G38" s="987"/>
      <c r="H38" s="999"/>
      <c r="I38" s="445"/>
      <c r="J38" s="445"/>
      <c r="K38" s="445"/>
      <c r="L38" s="445"/>
      <c r="M38" s="445"/>
      <c r="N38" s="445"/>
      <c r="O38" s="978"/>
      <c r="P38" s="446"/>
      <c r="Q38" s="446"/>
      <c r="R38" s="446"/>
      <c r="S38" s="446"/>
      <c r="T38" s="446"/>
      <c r="U38" s="446"/>
      <c r="V38" s="446"/>
      <c r="W38" s="447"/>
      <c r="X38" s="447"/>
      <c r="Y38" s="447"/>
      <c r="Z38" s="447"/>
      <c r="AA38" s="447"/>
    </row>
    <row r="39" spans="1:35" ht="31.5" x14ac:dyDescent="0.2">
      <c r="A39" s="979" t="s">
        <v>1001</v>
      </c>
      <c r="B39" s="993">
        <v>65.284999999999997</v>
      </c>
      <c r="C39" s="981">
        <f>3791.85+112.68-100-159-200-258.54+27.61</f>
        <v>3214.6</v>
      </c>
      <c r="D39" s="981">
        <v>742</v>
      </c>
      <c r="E39" s="981">
        <v>3.5</v>
      </c>
      <c r="F39" s="976">
        <f>C39*E39/10</f>
        <v>1125.1100000000001</v>
      </c>
      <c r="G39" s="977">
        <f>D39+F39</f>
        <v>1867.1100000000001</v>
      </c>
      <c r="H39" s="998">
        <f>G39/C39*10</f>
        <v>5.8082187519442554</v>
      </c>
      <c r="I39" s="446">
        <f>'[12]Actuals apprd'!$F$66</f>
        <v>1429.645626640297</v>
      </c>
      <c r="J39" s="446">
        <f>'[12]Actuals apprd'!$G$66-100</f>
        <v>529.13353452594333</v>
      </c>
      <c r="K39" s="446">
        <f t="shared" si="21"/>
        <v>2.4909405830236322</v>
      </c>
      <c r="L39" s="446">
        <f>'[12]Actuals apprd'!$H$66+100</f>
        <v>356.11623107405671</v>
      </c>
      <c r="M39" s="446">
        <f t="shared" ref="M39:M52" si="34">J39+L39</f>
        <v>885.24976560000005</v>
      </c>
      <c r="N39" s="446">
        <f>M39/I39*10</f>
        <v>6.1920922856971146</v>
      </c>
      <c r="O39" s="978">
        <v>3729.65</v>
      </c>
      <c r="P39" s="446">
        <v>2300</v>
      </c>
      <c r="Q39" s="446">
        <v>612</v>
      </c>
      <c r="R39" s="446"/>
      <c r="S39" s="446">
        <f>P39*K39/10</f>
        <v>572.91633409543533</v>
      </c>
      <c r="T39" s="446">
        <f>Q39+S39</f>
        <v>1184.9163340954353</v>
      </c>
      <c r="U39" s="446">
        <f>T39/P39*10</f>
        <v>5.1518101482410223</v>
      </c>
      <c r="V39" s="446">
        <f t="shared" si="12"/>
        <v>3729.645626640297</v>
      </c>
      <c r="W39" s="447">
        <f t="shared" si="12"/>
        <v>1141.1335345259433</v>
      </c>
      <c r="X39" s="447"/>
      <c r="Y39" s="447">
        <f>L39+S39</f>
        <v>929.03256516949205</v>
      </c>
      <c r="Z39" s="447">
        <f t="shared" si="13"/>
        <v>2070.1660996954352</v>
      </c>
      <c r="AA39" s="447">
        <f t="shared" si="14"/>
        <v>5.5505705016813138</v>
      </c>
      <c r="AF39">
        <f>D39/C39*10</f>
        <v>2.3082187519442545</v>
      </c>
      <c r="AG39">
        <f>AH39-AF39</f>
        <v>3.3437812480557456</v>
      </c>
      <c r="AH39">
        <v>5.6520000000000001</v>
      </c>
    </row>
    <row r="40" spans="1:35" ht="15.75" x14ac:dyDescent="0.2">
      <c r="A40" s="994" t="s">
        <v>1002</v>
      </c>
      <c r="B40" s="986"/>
      <c r="C40" s="986"/>
      <c r="D40" s="986"/>
      <c r="E40" s="986"/>
      <c r="F40" s="986"/>
      <c r="G40" s="987"/>
      <c r="H40" s="999"/>
      <c r="I40" s="445"/>
      <c r="J40" s="445"/>
      <c r="K40" s="445"/>
      <c r="L40" s="445"/>
      <c r="M40" s="445"/>
      <c r="N40" s="445"/>
      <c r="O40" s="978"/>
      <c r="P40" s="446"/>
      <c r="Q40" s="446"/>
      <c r="R40" s="446"/>
      <c r="S40" s="446"/>
      <c r="T40" s="446"/>
      <c r="U40" s="446"/>
      <c r="V40" s="446"/>
      <c r="W40" s="447"/>
      <c r="X40" s="447"/>
      <c r="Y40" s="447"/>
      <c r="Z40" s="447"/>
      <c r="AA40" s="447"/>
    </row>
    <row r="41" spans="1:35" ht="31.5" x14ac:dyDescent="0.2">
      <c r="A41" s="988" t="s">
        <v>1003</v>
      </c>
      <c r="B41" s="975">
        <v>1.431</v>
      </c>
      <c r="C41" s="976">
        <v>70.209999999999994</v>
      </c>
      <c r="D41" s="976">
        <v>0</v>
      </c>
      <c r="E41" s="976">
        <v>0.45</v>
      </c>
      <c r="F41" s="976">
        <f t="shared" ref="F41:F52" si="35">C41*E41/10</f>
        <v>3.1594499999999996</v>
      </c>
      <c r="G41" s="977">
        <f t="shared" ref="G41:G52" si="36">D41+F41</f>
        <v>3.1594499999999996</v>
      </c>
      <c r="H41" s="998">
        <f t="shared" ref="H41:H52" si="37">G41/C41*10</f>
        <v>0.44999999999999996</v>
      </c>
      <c r="I41" s="446">
        <f>'[12]Actuals apprd'!$F$8</f>
        <v>30.87656114</v>
      </c>
      <c r="J41" s="446"/>
      <c r="K41" s="490">
        <f t="shared" si="21"/>
        <v>0.43660925526565947</v>
      </c>
      <c r="L41" s="446">
        <f>'[12]Actuals apprd'!$N$8</f>
        <v>1.3480992364500002</v>
      </c>
      <c r="M41" s="446">
        <f t="shared" si="34"/>
        <v>1.3480992364500002</v>
      </c>
      <c r="N41" s="490">
        <f t="shared" ref="N41:N57" si="38">M41/I41*10</f>
        <v>0.43660925526565947</v>
      </c>
      <c r="O41" s="978">
        <f t="shared" ref="O41:O52" si="39">C41-(C41*0.97%)</f>
        <v>69.52896299999999</v>
      </c>
      <c r="P41" s="446">
        <f t="shared" ref="P41:P52" si="40">O41-I41</f>
        <v>38.652401859999991</v>
      </c>
      <c r="Q41" s="446"/>
      <c r="R41" s="446"/>
      <c r="S41" s="446"/>
      <c r="T41" s="446">
        <f t="shared" ref="T41:T52" si="41">P41*N41/10</f>
        <v>1.6875996390323587</v>
      </c>
      <c r="U41" s="446">
        <f t="shared" ref="U41:U74" si="42">T41/P41*10</f>
        <v>0.43660925526565947</v>
      </c>
      <c r="V41" s="446">
        <f t="shared" si="12"/>
        <v>69.52896299999999</v>
      </c>
      <c r="W41" s="447">
        <f t="shared" si="12"/>
        <v>0</v>
      </c>
      <c r="X41" s="447"/>
      <c r="Y41" s="447">
        <f>M41+T41</f>
        <v>3.0356988754823586</v>
      </c>
      <c r="Z41" s="447">
        <f t="shared" si="13"/>
        <v>3.0356988754823586</v>
      </c>
      <c r="AA41" s="447">
        <f t="shared" si="14"/>
        <v>0.43660925526565947</v>
      </c>
      <c r="AI41" s="976">
        <v>70.209999999999994</v>
      </c>
    </row>
    <row r="42" spans="1:35" ht="47.25" x14ac:dyDescent="0.2">
      <c r="A42" s="988" t="s">
        <v>1004</v>
      </c>
      <c r="B42" s="975">
        <v>17.917000000000002</v>
      </c>
      <c r="C42" s="976">
        <v>37.869999999999997</v>
      </c>
      <c r="D42" s="976">
        <v>0</v>
      </c>
      <c r="E42" s="976">
        <v>1.6</v>
      </c>
      <c r="F42" s="976">
        <f t="shared" si="35"/>
        <v>6.0591999999999997</v>
      </c>
      <c r="G42" s="977">
        <f t="shared" si="36"/>
        <v>6.0591999999999997</v>
      </c>
      <c r="H42" s="998">
        <f t="shared" si="37"/>
        <v>1.6</v>
      </c>
      <c r="I42" s="446">
        <f>'[12]Actuals apprd'!$F$23</f>
        <v>19.140219163800001</v>
      </c>
      <c r="J42" s="445"/>
      <c r="K42" s="490">
        <f t="shared" si="21"/>
        <v>0.80680773999487132</v>
      </c>
      <c r="L42" s="446">
        <f>'[12]Actuals apprd'!$N$23</f>
        <v>1.5442476966552003</v>
      </c>
      <c r="M42" s="446">
        <f t="shared" si="34"/>
        <v>1.5442476966552003</v>
      </c>
      <c r="N42" s="490">
        <f t="shared" si="38"/>
        <v>0.80680773999487132</v>
      </c>
      <c r="O42" s="978">
        <f t="shared" si="39"/>
        <v>37.502660999999996</v>
      </c>
      <c r="P42" s="446">
        <f t="shared" si="40"/>
        <v>18.362441836199995</v>
      </c>
      <c r="Q42" s="446"/>
      <c r="R42" s="446"/>
      <c r="S42" s="446"/>
      <c r="T42" s="446">
        <f t="shared" si="41"/>
        <v>1.4814960198651792</v>
      </c>
      <c r="U42" s="446">
        <f t="shared" si="42"/>
        <v>0.80680773999487132</v>
      </c>
      <c r="V42" s="446">
        <f t="shared" si="12"/>
        <v>37.502660999999996</v>
      </c>
      <c r="W42" s="447">
        <f t="shared" si="12"/>
        <v>0</v>
      </c>
      <c r="X42" s="447"/>
      <c r="Y42" s="447">
        <f t="shared" ref="Y42:Y52" si="43">M42+T42</f>
        <v>3.0257437165203793</v>
      </c>
      <c r="Z42" s="447">
        <f t="shared" si="13"/>
        <v>3.0257437165203793</v>
      </c>
      <c r="AA42" s="447">
        <f t="shared" si="14"/>
        <v>0.80680773999487121</v>
      </c>
      <c r="AI42" s="976">
        <v>37.869999999999997</v>
      </c>
    </row>
    <row r="43" spans="1:35" ht="15.75" x14ac:dyDescent="0.2">
      <c r="A43" s="974" t="s">
        <v>1005</v>
      </c>
      <c r="B43" s="975">
        <v>17.917000000000002</v>
      </c>
      <c r="C43" s="976">
        <v>91.93</v>
      </c>
      <c r="D43" s="976">
        <v>0</v>
      </c>
      <c r="E43" s="976">
        <v>1.6</v>
      </c>
      <c r="F43" s="976">
        <f t="shared" si="35"/>
        <v>14.708800000000002</v>
      </c>
      <c r="G43" s="977">
        <f t="shared" si="36"/>
        <v>14.708800000000002</v>
      </c>
      <c r="H43" s="998">
        <f t="shared" si="37"/>
        <v>1.6</v>
      </c>
      <c r="I43" s="446">
        <f>'[12]Actuals apprd'!$F$17</f>
        <v>47.628043429999927</v>
      </c>
      <c r="J43" s="445"/>
      <c r="K43" s="490">
        <f t="shared" si="21"/>
        <v>1.321645799518204</v>
      </c>
      <c r="L43" s="446">
        <f>'[12]Actuals apprd'!$N$17</f>
        <v>6.2947403538529993</v>
      </c>
      <c r="M43" s="446">
        <f t="shared" si="34"/>
        <v>6.2947403538529993</v>
      </c>
      <c r="N43" s="490">
        <f t="shared" si="38"/>
        <v>1.321645799518204</v>
      </c>
      <c r="O43" s="978">
        <f t="shared" si="39"/>
        <v>91.038279000000003</v>
      </c>
      <c r="P43" s="446">
        <f t="shared" si="40"/>
        <v>43.410235570000076</v>
      </c>
      <c r="Q43" s="446"/>
      <c r="R43" s="446"/>
      <c r="S43" s="446"/>
      <c r="T43" s="446">
        <f t="shared" si="41"/>
        <v>5.7372955497186329</v>
      </c>
      <c r="U43" s="446">
        <f t="shared" si="42"/>
        <v>1.321645799518204</v>
      </c>
      <c r="V43" s="446">
        <f t="shared" si="12"/>
        <v>91.038279000000003</v>
      </c>
      <c r="W43" s="447">
        <f t="shared" si="12"/>
        <v>0</v>
      </c>
      <c r="X43" s="447"/>
      <c r="Y43" s="447">
        <f t="shared" si="43"/>
        <v>12.032035903571632</v>
      </c>
      <c r="Z43" s="447">
        <f t="shared" si="13"/>
        <v>12.032035903571632</v>
      </c>
      <c r="AA43" s="447">
        <f t="shared" si="14"/>
        <v>1.321645799518204</v>
      </c>
      <c r="AI43" s="976">
        <v>91.93</v>
      </c>
    </row>
    <row r="44" spans="1:35" ht="15.75" x14ac:dyDescent="0.2">
      <c r="A44" s="974" t="s">
        <v>1006</v>
      </c>
      <c r="B44" s="975">
        <v>2</v>
      </c>
      <c r="C44" s="976">
        <v>62.6</v>
      </c>
      <c r="D44" s="976">
        <v>0</v>
      </c>
      <c r="E44" s="976">
        <v>0.96</v>
      </c>
      <c r="F44" s="976">
        <f t="shared" si="35"/>
        <v>6.0095999999999998</v>
      </c>
      <c r="G44" s="977">
        <f t="shared" si="36"/>
        <v>6.0095999999999998</v>
      </c>
      <c r="H44" s="998">
        <f t="shared" si="37"/>
        <v>0.96</v>
      </c>
      <c r="I44" s="446">
        <f>'[12]Actuals apprd'!$F$10</f>
        <v>24.788260000000037</v>
      </c>
      <c r="J44" s="445"/>
      <c r="K44" s="490">
        <f t="shared" si="21"/>
        <v>0.76972243594346579</v>
      </c>
      <c r="L44" s="446">
        <f>'[12]Actuals apprd'!$N$10</f>
        <v>1.9080079870000004</v>
      </c>
      <c r="M44" s="446">
        <f t="shared" si="34"/>
        <v>1.9080079870000004</v>
      </c>
      <c r="N44" s="490">
        <f t="shared" si="38"/>
        <v>0.76972243594346579</v>
      </c>
      <c r="O44" s="978">
        <f t="shared" si="39"/>
        <v>61.992780000000003</v>
      </c>
      <c r="P44" s="446">
        <f t="shared" si="40"/>
        <v>37.204519999999967</v>
      </c>
      <c r="Q44" s="446"/>
      <c r="R44" s="446"/>
      <c r="S44" s="446"/>
      <c r="T44" s="446">
        <f t="shared" si="41"/>
        <v>2.8637153762507368</v>
      </c>
      <c r="U44" s="446">
        <f t="shared" si="42"/>
        <v>0.76972243594346579</v>
      </c>
      <c r="V44" s="446">
        <f t="shared" si="12"/>
        <v>61.992780000000003</v>
      </c>
      <c r="W44" s="447">
        <f t="shared" si="12"/>
        <v>0</v>
      </c>
      <c r="X44" s="447"/>
      <c r="Y44" s="447">
        <f t="shared" si="43"/>
        <v>4.7717233632507376</v>
      </c>
      <c r="Z44" s="447">
        <f t="shared" si="13"/>
        <v>4.7717233632507376</v>
      </c>
      <c r="AA44" s="447">
        <f t="shared" si="14"/>
        <v>0.76972243594346601</v>
      </c>
      <c r="AI44" s="976">
        <v>62.6</v>
      </c>
    </row>
    <row r="45" spans="1:35" ht="15.75" x14ac:dyDescent="0.2">
      <c r="A45" s="974" t="s">
        <v>1007</v>
      </c>
      <c r="B45" s="975">
        <v>17.917000000000002</v>
      </c>
      <c r="C45" s="976">
        <v>193.36</v>
      </c>
      <c r="D45" s="976">
        <v>0</v>
      </c>
      <c r="E45" s="976">
        <v>1.2649999999999999</v>
      </c>
      <c r="F45" s="976">
        <f t="shared" si="35"/>
        <v>24.460039999999999</v>
      </c>
      <c r="G45" s="977">
        <f t="shared" si="36"/>
        <v>24.460039999999999</v>
      </c>
      <c r="H45" s="998">
        <f t="shared" si="37"/>
        <v>1.2650000000000001</v>
      </c>
      <c r="I45" s="446">
        <f>'[12]Actuals apprd'!$F$11</f>
        <v>115.40151923220004</v>
      </c>
      <c r="J45" s="445"/>
      <c r="K45" s="490">
        <f t="shared" si="21"/>
        <v>1.1588103255069662</v>
      </c>
      <c r="L45" s="446">
        <f>'[12]Actuals apprd'!$N$11+'[12]Actuals apprd'!$N$12</f>
        <v>13.372847206546414</v>
      </c>
      <c r="M45" s="446">
        <f t="shared" si="34"/>
        <v>13.372847206546414</v>
      </c>
      <c r="N45" s="490">
        <f t="shared" si="38"/>
        <v>1.1588103255069662</v>
      </c>
      <c r="O45" s="978">
        <f t="shared" si="39"/>
        <v>191.484408</v>
      </c>
      <c r="P45" s="446">
        <f t="shared" si="40"/>
        <v>76.082888767799957</v>
      </c>
      <c r="Q45" s="446"/>
      <c r="R45" s="446"/>
      <c r="S45" s="446"/>
      <c r="T45" s="446">
        <f t="shared" si="41"/>
        <v>8.8165637098524563</v>
      </c>
      <c r="U45" s="446">
        <f t="shared" si="42"/>
        <v>1.1588103255069662</v>
      </c>
      <c r="V45" s="446">
        <f t="shared" si="12"/>
        <v>191.484408</v>
      </c>
      <c r="W45" s="447">
        <f t="shared" si="12"/>
        <v>0</v>
      </c>
      <c r="X45" s="447"/>
      <c r="Y45" s="447">
        <f t="shared" si="43"/>
        <v>22.18941091639887</v>
      </c>
      <c r="Z45" s="447">
        <f t="shared" si="13"/>
        <v>22.18941091639887</v>
      </c>
      <c r="AA45" s="447">
        <f t="shared" si="14"/>
        <v>1.1588103255069662</v>
      </c>
      <c r="AI45" s="976">
        <v>193.36</v>
      </c>
    </row>
    <row r="46" spans="1:35" ht="15.75" x14ac:dyDescent="0.2">
      <c r="A46" s="974" t="s">
        <v>1008</v>
      </c>
      <c r="B46" s="975">
        <v>17.917000000000002</v>
      </c>
      <c r="C46" s="976">
        <v>79.27</v>
      </c>
      <c r="D46" s="976">
        <v>0</v>
      </c>
      <c r="E46" s="976">
        <v>1.25</v>
      </c>
      <c r="F46" s="976">
        <f t="shared" si="35"/>
        <v>9.9087499999999995</v>
      </c>
      <c r="G46" s="977">
        <f t="shared" si="36"/>
        <v>9.9087499999999995</v>
      </c>
      <c r="H46" s="998">
        <f t="shared" si="37"/>
        <v>1.25</v>
      </c>
      <c r="I46" s="446">
        <f>'[12]Actuals apprd'!$F$18</f>
        <v>60.515940202999964</v>
      </c>
      <c r="J46" s="445"/>
      <c r="K46" s="490">
        <f t="shared" si="21"/>
        <v>0.98086607724071129</v>
      </c>
      <c r="L46" s="446">
        <f>'[12]Actuals apprd'!$N$18</f>
        <v>5.9358032877450029</v>
      </c>
      <c r="M46" s="446">
        <f t="shared" si="34"/>
        <v>5.9358032877450029</v>
      </c>
      <c r="N46" s="490">
        <f t="shared" si="38"/>
        <v>0.98086607724071129</v>
      </c>
      <c r="O46" s="978">
        <f t="shared" si="39"/>
        <v>78.501080999999999</v>
      </c>
      <c r="P46" s="446">
        <f t="shared" si="40"/>
        <v>17.985140797000035</v>
      </c>
      <c r="Q46" s="446"/>
      <c r="R46" s="446"/>
      <c r="S46" s="446"/>
      <c r="T46" s="446">
        <f t="shared" si="41"/>
        <v>1.7641014502175305</v>
      </c>
      <c r="U46" s="446">
        <f t="shared" si="42"/>
        <v>0.98086607724071129</v>
      </c>
      <c r="V46" s="446">
        <f t="shared" si="12"/>
        <v>78.501080999999999</v>
      </c>
      <c r="W46" s="447">
        <f t="shared" si="12"/>
        <v>0</v>
      </c>
      <c r="X46" s="447"/>
      <c r="Y46" s="447">
        <f t="shared" si="43"/>
        <v>7.6999047379625338</v>
      </c>
      <c r="Z46" s="447">
        <f t="shared" si="13"/>
        <v>7.6999047379625338</v>
      </c>
      <c r="AA46" s="447">
        <f t="shared" si="14"/>
        <v>0.9808660772407114</v>
      </c>
      <c r="AI46" s="976">
        <v>79.27</v>
      </c>
    </row>
    <row r="47" spans="1:35" ht="31.5" x14ac:dyDescent="0.2">
      <c r="A47" s="988" t="s">
        <v>1009</v>
      </c>
      <c r="B47" s="975">
        <v>17.917000000000002</v>
      </c>
      <c r="C47" s="976">
        <v>8.6</v>
      </c>
      <c r="D47" s="976">
        <v>0</v>
      </c>
      <c r="E47" s="976">
        <v>4.5599999999999996</v>
      </c>
      <c r="F47" s="976">
        <f t="shared" si="35"/>
        <v>3.9215999999999993</v>
      </c>
      <c r="G47" s="977">
        <f t="shared" si="36"/>
        <v>3.9215999999999993</v>
      </c>
      <c r="H47" s="998">
        <f t="shared" si="37"/>
        <v>4.5599999999999996</v>
      </c>
      <c r="I47" s="446">
        <f>'[12]Actuals apprd'!$F$9</f>
        <v>4.7509304017200007</v>
      </c>
      <c r="J47" s="445"/>
      <c r="K47" s="490">
        <f t="shared" si="21"/>
        <v>4.0613172540444777</v>
      </c>
      <c r="L47" s="446">
        <f>'[12]Actuals apprd'!$N$9</f>
        <v>1.9295035613269902</v>
      </c>
      <c r="M47" s="446">
        <f t="shared" si="34"/>
        <v>1.9295035613269902</v>
      </c>
      <c r="N47" s="490">
        <f t="shared" si="38"/>
        <v>4.0613172540444777</v>
      </c>
      <c r="O47" s="978">
        <f t="shared" si="39"/>
        <v>8.5165799999999994</v>
      </c>
      <c r="P47" s="446">
        <f t="shared" si="40"/>
        <v>3.7656495982799987</v>
      </c>
      <c r="Q47" s="446"/>
      <c r="R47" s="446"/>
      <c r="S47" s="446"/>
      <c r="T47" s="446">
        <f t="shared" si="41"/>
        <v>1.5293497686180215</v>
      </c>
      <c r="U47" s="446">
        <f t="shared" si="42"/>
        <v>4.0613172540444777</v>
      </c>
      <c r="V47" s="446">
        <f t="shared" si="12"/>
        <v>8.5165799999999994</v>
      </c>
      <c r="W47" s="447">
        <f t="shared" si="12"/>
        <v>0</v>
      </c>
      <c r="X47" s="447"/>
      <c r="Y47" s="447">
        <f t="shared" si="43"/>
        <v>3.4588533299450117</v>
      </c>
      <c r="Z47" s="447">
        <f t="shared" si="13"/>
        <v>3.4588533299450117</v>
      </c>
      <c r="AA47" s="447">
        <f t="shared" si="14"/>
        <v>4.0613172540444777</v>
      </c>
      <c r="AI47" s="976">
        <v>8.6</v>
      </c>
    </row>
    <row r="48" spans="1:35" ht="15.75" x14ac:dyDescent="0.2">
      <c r="A48" s="974" t="s">
        <v>1010</v>
      </c>
      <c r="B48" s="975">
        <v>17.917000000000002</v>
      </c>
      <c r="C48" s="976">
        <v>65.47</v>
      </c>
      <c r="D48" s="976">
        <v>0</v>
      </c>
      <c r="E48" s="976">
        <v>1.8</v>
      </c>
      <c r="F48" s="976">
        <f t="shared" si="35"/>
        <v>11.784600000000001</v>
      </c>
      <c r="G48" s="977">
        <f t="shared" si="36"/>
        <v>11.784600000000001</v>
      </c>
      <c r="H48" s="998">
        <f t="shared" si="37"/>
        <v>1.8000000000000003</v>
      </c>
      <c r="I48" s="446">
        <f>'[12]Actuals apprd'!$F$15</f>
        <v>40.531067635000014</v>
      </c>
      <c r="J48" s="445"/>
      <c r="K48" s="490">
        <f t="shared" si="21"/>
        <v>1.601840769874652</v>
      </c>
      <c r="L48" s="446">
        <f>'[12]Actuals apprd'!$N$15</f>
        <v>6.4924316584290009</v>
      </c>
      <c r="M48" s="446">
        <f t="shared" si="34"/>
        <v>6.4924316584290009</v>
      </c>
      <c r="N48" s="490">
        <f t="shared" si="38"/>
        <v>1.601840769874652</v>
      </c>
      <c r="O48" s="978">
        <f t="shared" si="39"/>
        <v>64.834941000000001</v>
      </c>
      <c r="P48" s="446">
        <f t="shared" si="40"/>
        <v>24.303873364999987</v>
      </c>
      <c r="Q48" s="446"/>
      <c r="R48" s="446"/>
      <c r="S48" s="446"/>
      <c r="T48" s="446">
        <f t="shared" si="41"/>
        <v>3.8930935221927627</v>
      </c>
      <c r="U48" s="446">
        <f t="shared" si="42"/>
        <v>1.601840769874652</v>
      </c>
      <c r="V48" s="446">
        <f t="shared" si="12"/>
        <v>64.834941000000001</v>
      </c>
      <c r="W48" s="447">
        <f t="shared" si="12"/>
        <v>0</v>
      </c>
      <c r="X48" s="447"/>
      <c r="Y48" s="447">
        <f t="shared" si="43"/>
        <v>10.385525180621764</v>
      </c>
      <c r="Z48" s="447">
        <f t="shared" si="13"/>
        <v>10.385525180621764</v>
      </c>
      <c r="AA48" s="447">
        <f t="shared" si="14"/>
        <v>1.601840769874652</v>
      </c>
      <c r="AI48" s="976">
        <v>65.47</v>
      </c>
    </row>
    <row r="49" spans="1:35" ht="15.75" x14ac:dyDescent="0.2">
      <c r="A49" s="974" t="s">
        <v>1011</v>
      </c>
      <c r="B49" s="975">
        <v>17.917000000000002</v>
      </c>
      <c r="C49" s="976">
        <v>62.42</v>
      </c>
      <c r="D49" s="976">
        <v>0</v>
      </c>
      <c r="E49" s="976">
        <v>1.5</v>
      </c>
      <c r="F49" s="976">
        <f t="shared" si="35"/>
        <v>9.3629999999999995</v>
      </c>
      <c r="G49" s="977">
        <f t="shared" si="36"/>
        <v>9.3629999999999995</v>
      </c>
      <c r="H49" s="998">
        <f t="shared" si="37"/>
        <v>1.5</v>
      </c>
      <c r="I49" s="446">
        <f>'[12]Actuals apprd'!$F$16</f>
        <v>29.322835752000003</v>
      </c>
      <c r="J49" s="445"/>
      <c r="K49" s="490">
        <f t="shared" si="21"/>
        <v>1.3383728001187498</v>
      </c>
      <c r="L49" s="446">
        <f>'[12]Actuals apprd'!$N$16</f>
        <v>3.9244885792826429</v>
      </c>
      <c r="M49" s="446">
        <f t="shared" si="34"/>
        <v>3.9244885792826429</v>
      </c>
      <c r="N49" s="490">
        <f t="shared" si="38"/>
        <v>1.3383728001187498</v>
      </c>
      <c r="O49" s="978">
        <f t="shared" si="39"/>
        <v>61.814526000000001</v>
      </c>
      <c r="P49" s="446">
        <f t="shared" si="40"/>
        <v>32.491690247999998</v>
      </c>
      <c r="Q49" s="446"/>
      <c r="R49" s="446"/>
      <c r="S49" s="446"/>
      <c r="T49" s="446">
        <f t="shared" si="41"/>
        <v>4.3485994457806836</v>
      </c>
      <c r="U49" s="446">
        <f t="shared" si="42"/>
        <v>1.3383728001187498</v>
      </c>
      <c r="V49" s="446">
        <f t="shared" si="12"/>
        <v>61.814526000000001</v>
      </c>
      <c r="W49" s="447">
        <f t="shared" si="12"/>
        <v>0</v>
      </c>
      <c r="X49" s="447"/>
      <c r="Y49" s="447">
        <f t="shared" si="43"/>
        <v>8.273088025063327</v>
      </c>
      <c r="Z49" s="447">
        <f t="shared" si="13"/>
        <v>8.273088025063327</v>
      </c>
      <c r="AA49" s="447">
        <f t="shared" si="14"/>
        <v>1.3383728001187498</v>
      </c>
      <c r="AI49" s="976">
        <v>62.42</v>
      </c>
    </row>
    <row r="50" spans="1:35" ht="31.5" x14ac:dyDescent="0.2">
      <c r="A50" s="988" t="s">
        <v>1012</v>
      </c>
      <c r="B50" s="975">
        <v>17.917000000000002</v>
      </c>
      <c r="C50" s="976">
        <v>12.96</v>
      </c>
      <c r="D50" s="976">
        <v>0</v>
      </c>
      <c r="E50" s="976">
        <v>1.75</v>
      </c>
      <c r="F50" s="976">
        <f t="shared" si="35"/>
        <v>2.2679999999999998</v>
      </c>
      <c r="G50" s="977">
        <f t="shared" si="36"/>
        <v>2.2679999999999998</v>
      </c>
      <c r="H50" s="998">
        <f t="shared" si="37"/>
        <v>1.7499999999999996</v>
      </c>
      <c r="I50" s="446">
        <f>'[12]Actuals apprd'!$F$13</f>
        <v>6.3119881484600002</v>
      </c>
      <c r="J50" s="445"/>
      <c r="K50" s="490">
        <f t="shared" si="21"/>
        <v>1.7273220670354359</v>
      </c>
      <c r="L50" s="446">
        <f>'[12]Actuals apprd'!$N$13</f>
        <v>1.09028364157011</v>
      </c>
      <c r="M50" s="446">
        <f t="shared" si="34"/>
        <v>1.09028364157011</v>
      </c>
      <c r="N50" s="490">
        <f t="shared" si="38"/>
        <v>1.7273220670354359</v>
      </c>
      <c r="O50" s="978">
        <f t="shared" si="39"/>
        <v>12.834288000000001</v>
      </c>
      <c r="P50" s="446">
        <f t="shared" si="40"/>
        <v>6.5222998515400006</v>
      </c>
      <c r="Q50" s="446"/>
      <c r="R50" s="446"/>
      <c r="S50" s="446"/>
      <c r="T50" s="446">
        <f t="shared" si="41"/>
        <v>1.126611246138699</v>
      </c>
      <c r="U50" s="446">
        <f t="shared" si="42"/>
        <v>1.7273220670354359</v>
      </c>
      <c r="V50" s="446">
        <f t="shared" si="12"/>
        <v>12.834288000000001</v>
      </c>
      <c r="W50" s="447">
        <f t="shared" si="12"/>
        <v>0</v>
      </c>
      <c r="X50" s="447"/>
      <c r="Y50" s="447">
        <f t="shared" si="43"/>
        <v>2.216894887708809</v>
      </c>
      <c r="Z50" s="447">
        <f t="shared" si="13"/>
        <v>2.216894887708809</v>
      </c>
      <c r="AA50" s="447">
        <f t="shared" si="14"/>
        <v>1.7273220670354359</v>
      </c>
      <c r="AI50" s="976">
        <v>12.96</v>
      </c>
    </row>
    <row r="51" spans="1:35" ht="31.5" x14ac:dyDescent="0.2">
      <c r="A51" s="974" t="s">
        <v>1013</v>
      </c>
      <c r="B51" s="975">
        <v>17.917000000000002</v>
      </c>
      <c r="C51" s="976">
        <v>43.49</v>
      </c>
      <c r="D51" s="976">
        <v>0</v>
      </c>
      <c r="E51" s="976">
        <v>1.35</v>
      </c>
      <c r="F51" s="976">
        <f t="shared" si="35"/>
        <v>5.871150000000001</v>
      </c>
      <c r="G51" s="977">
        <f t="shared" si="36"/>
        <v>5.871150000000001</v>
      </c>
      <c r="H51" s="998">
        <f t="shared" si="37"/>
        <v>1.35</v>
      </c>
      <c r="I51" s="446">
        <f>'[12]Actuals apprd'!$F$20+'[12]Actuals apprd'!$F$21</f>
        <v>27.081678553619994</v>
      </c>
      <c r="J51" s="445"/>
      <c r="K51" s="490">
        <f t="shared" si="21"/>
        <v>0.9298991685518464</v>
      </c>
      <c r="L51" s="446">
        <f>'[12]Actuals apprd'!$N$20</f>
        <v>2.5183230369999601</v>
      </c>
      <c r="M51" s="446">
        <f t="shared" si="34"/>
        <v>2.5183230369999601</v>
      </c>
      <c r="N51" s="490">
        <f t="shared" si="38"/>
        <v>0.9298991685518464</v>
      </c>
      <c r="O51" s="978">
        <f t="shared" si="39"/>
        <v>43.068147000000003</v>
      </c>
      <c r="P51" s="446">
        <f t="shared" si="40"/>
        <v>15.986468446380009</v>
      </c>
      <c r="Q51" s="446"/>
      <c r="R51" s="446"/>
      <c r="S51" s="446"/>
      <c r="T51" s="446">
        <f t="shared" si="41"/>
        <v>1.4865803716369097</v>
      </c>
      <c r="U51" s="446">
        <f t="shared" si="42"/>
        <v>0.9298991685518464</v>
      </c>
      <c r="V51" s="446">
        <f t="shared" si="12"/>
        <v>43.068147000000003</v>
      </c>
      <c r="W51" s="447">
        <f t="shared" si="12"/>
        <v>0</v>
      </c>
      <c r="X51" s="447"/>
      <c r="Y51" s="447">
        <f t="shared" si="43"/>
        <v>4.0049034086368698</v>
      </c>
      <c r="Z51" s="447">
        <f t="shared" si="13"/>
        <v>4.0049034086368698</v>
      </c>
      <c r="AA51" s="447">
        <f t="shared" si="14"/>
        <v>0.9298991685518464</v>
      </c>
      <c r="AI51" s="976">
        <v>43.49</v>
      </c>
    </row>
    <row r="52" spans="1:35" ht="15.75" x14ac:dyDescent="0.2">
      <c r="A52" s="974" t="s">
        <v>1014</v>
      </c>
      <c r="B52" s="975">
        <v>17.917000000000002</v>
      </c>
      <c r="C52" s="976">
        <v>16.38</v>
      </c>
      <c r="D52" s="976">
        <v>0</v>
      </c>
      <c r="E52" s="976">
        <v>1.06</v>
      </c>
      <c r="F52" s="976">
        <f t="shared" si="35"/>
        <v>1.73628</v>
      </c>
      <c r="G52" s="977">
        <f t="shared" si="36"/>
        <v>1.73628</v>
      </c>
      <c r="H52" s="998">
        <f t="shared" si="37"/>
        <v>1.06</v>
      </c>
      <c r="I52" s="446">
        <f>'[12]Actuals apprd'!$F$22</f>
        <v>9.4245940000000008</v>
      </c>
      <c r="J52" s="445"/>
      <c r="K52" s="490">
        <f t="shared" si="21"/>
        <v>0.6252657048155128</v>
      </c>
      <c r="L52" s="446">
        <f>'[12]Actuals apprd'!$N$22</f>
        <v>0.58928754100100533</v>
      </c>
      <c r="M52" s="446">
        <f t="shared" si="34"/>
        <v>0.58928754100100533</v>
      </c>
      <c r="N52" s="490">
        <f t="shared" si="38"/>
        <v>0.6252657048155128</v>
      </c>
      <c r="O52" s="978">
        <f t="shared" si="39"/>
        <v>16.221114</v>
      </c>
      <c r="P52" s="446">
        <f t="shared" si="40"/>
        <v>6.7965199999999992</v>
      </c>
      <c r="Q52" s="446"/>
      <c r="R52" s="446"/>
      <c r="S52" s="446"/>
      <c r="T52" s="446">
        <f t="shared" si="41"/>
        <v>0.42496308680927281</v>
      </c>
      <c r="U52" s="446">
        <f t="shared" si="42"/>
        <v>0.6252657048155128</v>
      </c>
      <c r="V52" s="446">
        <f t="shared" si="12"/>
        <v>16.221114</v>
      </c>
      <c r="W52" s="447">
        <f t="shared" si="12"/>
        <v>0</v>
      </c>
      <c r="X52" s="447"/>
      <c r="Y52" s="447">
        <f t="shared" si="43"/>
        <v>1.0142506278102781</v>
      </c>
      <c r="Z52" s="447">
        <f t="shared" si="13"/>
        <v>1.0142506278102781</v>
      </c>
      <c r="AA52" s="447">
        <f t="shared" si="14"/>
        <v>0.6252657048155128</v>
      </c>
      <c r="AI52" s="976">
        <v>16.38</v>
      </c>
    </row>
    <row r="53" spans="1:35" ht="15.75" x14ac:dyDescent="0.2">
      <c r="A53" s="979" t="s">
        <v>1015</v>
      </c>
      <c r="B53" s="980"/>
      <c r="C53" s="981">
        <f>SUM(C41:C52)</f>
        <v>744.56000000000006</v>
      </c>
      <c r="D53" s="981">
        <f>SUM(D41:D52)</f>
        <v>0</v>
      </c>
      <c r="E53" s="981">
        <v>1.28</v>
      </c>
      <c r="F53" s="981">
        <f>SUM(F41:F52)</f>
        <v>99.250469999999993</v>
      </c>
      <c r="G53" s="982">
        <f>SUM(G41:G52)</f>
        <v>99.250469999999993</v>
      </c>
      <c r="H53" s="983">
        <v>1.28</v>
      </c>
      <c r="I53" s="983">
        <f>SUM(I41:I52)</f>
        <v>415.77363765979999</v>
      </c>
      <c r="J53" s="365"/>
      <c r="K53" s="365"/>
      <c r="L53" s="983">
        <f>SUM(L41:L52)</f>
        <v>46.948063786859329</v>
      </c>
      <c r="M53" s="983">
        <f>SUM(M41:M52)</f>
        <v>46.948063786859329</v>
      </c>
      <c r="N53" s="490">
        <f t="shared" si="38"/>
        <v>1.1291736544699791</v>
      </c>
      <c r="O53" s="984">
        <f>SUM(O41:O52)</f>
        <v>737.33776799999987</v>
      </c>
      <c r="P53" s="983">
        <f>SUM(P41:P52)</f>
        <v>321.56413034020005</v>
      </c>
      <c r="Q53" s="983">
        <f t="shared" ref="Q53:V53" si="44">SUM(Q41:Q52)</f>
        <v>0</v>
      </c>
      <c r="R53" s="983">
        <f t="shared" si="44"/>
        <v>0</v>
      </c>
      <c r="S53" s="983">
        <f t="shared" si="44"/>
        <v>0</v>
      </c>
      <c r="T53" s="983">
        <f t="shared" si="44"/>
        <v>35.159969186113244</v>
      </c>
      <c r="U53" s="446">
        <f t="shared" si="42"/>
        <v>1.0934045768387044</v>
      </c>
      <c r="V53" s="983">
        <f t="shared" si="44"/>
        <v>737.33776799999987</v>
      </c>
      <c r="W53" s="447">
        <f t="shared" si="12"/>
        <v>0</v>
      </c>
      <c r="X53" s="447"/>
      <c r="Y53" s="983">
        <f>SUM(Y41:Y52)</f>
        <v>82.10803297297258</v>
      </c>
      <c r="Z53" s="983">
        <f>SUM(Z41:Z52)</f>
        <v>82.10803297297258</v>
      </c>
      <c r="AA53" s="985">
        <f t="shared" si="14"/>
        <v>1.1135742198000713</v>
      </c>
    </row>
    <row r="54" spans="1:35" ht="15.75" x14ac:dyDescent="0.2">
      <c r="A54" s="974" t="s">
        <v>1016</v>
      </c>
      <c r="B54" s="986"/>
      <c r="C54" s="986"/>
      <c r="D54" s="986"/>
      <c r="E54" s="986"/>
      <c r="F54" s="986"/>
      <c r="G54" s="987"/>
      <c r="H54" s="999"/>
      <c r="I54" s="445"/>
      <c r="J54" s="445"/>
      <c r="K54" s="445"/>
      <c r="L54" s="445"/>
      <c r="M54" s="445"/>
      <c r="N54" s="445"/>
      <c r="O54" s="978"/>
      <c r="P54" s="446"/>
      <c r="Q54" s="446"/>
      <c r="R54" s="446"/>
      <c r="S54" s="446"/>
      <c r="T54" s="446"/>
      <c r="U54" s="446"/>
      <c r="V54" s="446"/>
      <c r="W54" s="447"/>
      <c r="X54" s="447"/>
      <c r="Y54" s="447"/>
      <c r="Z54" s="447"/>
      <c r="AA54" s="447"/>
    </row>
    <row r="55" spans="1:35" ht="31.5" x14ac:dyDescent="0.2">
      <c r="A55" s="974" t="s">
        <v>1017</v>
      </c>
      <c r="B55" s="975">
        <v>17.917000000000002</v>
      </c>
      <c r="C55" s="976">
        <v>16.25</v>
      </c>
      <c r="D55" s="976">
        <v>0</v>
      </c>
      <c r="E55" s="976"/>
      <c r="F55" s="976">
        <v>8.08</v>
      </c>
      <c r="G55" s="977">
        <v>8.08</v>
      </c>
      <c r="H55" s="998">
        <f>G55/C55*10</f>
        <v>4.9723076923076928</v>
      </c>
      <c r="I55" s="446">
        <f>'[12]Actuals apprd'!$F$95</f>
        <v>11.289322370000002</v>
      </c>
      <c r="J55" s="445"/>
      <c r="K55" s="445"/>
      <c r="L55" s="446">
        <f>'[12]Actuals apprd'!$K$95</f>
        <v>5.2546080000000002</v>
      </c>
      <c r="M55" s="446">
        <f>J55+L55</f>
        <v>5.2546080000000002</v>
      </c>
      <c r="N55" s="490">
        <f t="shared" si="38"/>
        <v>4.654493713425599</v>
      </c>
      <c r="O55" s="978">
        <f>C55-(C55*0.97%)</f>
        <v>16.092375000000001</v>
      </c>
      <c r="P55" s="446">
        <f>O55-I55</f>
        <v>4.803052629999998</v>
      </c>
      <c r="Q55" s="446"/>
      <c r="R55" s="446"/>
      <c r="S55" s="446"/>
      <c r="T55" s="446">
        <f>P55*N55/10</f>
        <v>2.2355778271587279</v>
      </c>
      <c r="U55" s="446">
        <f t="shared" si="42"/>
        <v>4.654493713425599</v>
      </c>
      <c r="V55" s="446">
        <f t="shared" si="12"/>
        <v>16.092375000000001</v>
      </c>
      <c r="W55" s="447">
        <f t="shared" si="12"/>
        <v>0</v>
      </c>
      <c r="X55" s="447"/>
      <c r="Y55" s="447">
        <f>M55+T55</f>
        <v>7.4901858271587276</v>
      </c>
      <c r="Z55" s="447">
        <f t="shared" si="13"/>
        <v>7.4901858271587276</v>
      </c>
      <c r="AA55" s="447">
        <f t="shared" si="14"/>
        <v>4.654493713425599</v>
      </c>
    </row>
    <row r="56" spans="1:35" ht="15.75" x14ac:dyDescent="0.2">
      <c r="A56" s="974" t="s">
        <v>1018</v>
      </c>
      <c r="B56" s="975">
        <v>17.917000000000002</v>
      </c>
      <c r="C56" s="976">
        <v>3.21</v>
      </c>
      <c r="D56" s="976">
        <v>0</v>
      </c>
      <c r="E56" s="976"/>
      <c r="F56" s="976">
        <v>0.88</v>
      </c>
      <c r="G56" s="977">
        <v>0.88</v>
      </c>
      <c r="H56" s="998">
        <f>G56/C56*10</f>
        <v>2.7414330218068539</v>
      </c>
      <c r="I56" s="446">
        <f>'[12]Actuals apprd'!$F$96</f>
        <v>3.1340201396000005</v>
      </c>
      <c r="J56" s="445"/>
      <c r="K56" s="445"/>
      <c r="L56" s="445"/>
      <c r="M56" s="445"/>
      <c r="N56" s="445"/>
      <c r="O56" s="978">
        <f>C56-(C56*0.97%)</f>
        <v>3.1788629999999998</v>
      </c>
      <c r="P56" s="446">
        <f>O56-I56</f>
        <v>4.4842860399999296E-2</v>
      </c>
      <c r="Q56" s="446"/>
      <c r="R56" s="446"/>
      <c r="S56" s="446"/>
      <c r="T56" s="446">
        <v>0.88</v>
      </c>
      <c r="U56" s="446">
        <f t="shared" si="42"/>
        <v>196.24082677830557</v>
      </c>
      <c r="V56" s="446">
        <f t="shared" si="12"/>
        <v>3.1788629999999998</v>
      </c>
      <c r="W56" s="447">
        <f t="shared" si="12"/>
        <v>0</v>
      </c>
      <c r="X56" s="447"/>
      <c r="Y56" s="447">
        <v>0.88</v>
      </c>
      <c r="Z56" s="447">
        <f t="shared" si="13"/>
        <v>0.88</v>
      </c>
      <c r="AA56" s="447">
        <f t="shared" si="14"/>
        <v>2.768285390090734</v>
      </c>
    </row>
    <row r="57" spans="1:35" ht="15.75" x14ac:dyDescent="0.2">
      <c r="A57" s="979" t="s">
        <v>1019</v>
      </c>
      <c r="B57" s="980"/>
      <c r="C57" s="981">
        <f>C55+C56</f>
        <v>19.46</v>
      </c>
      <c r="D57" s="981">
        <f>D55+D56</f>
        <v>0</v>
      </c>
      <c r="E57" s="980"/>
      <c r="F57" s="981">
        <f>F55+F56</f>
        <v>8.9600000000000009</v>
      </c>
      <c r="G57" s="981">
        <f>G55+G56</f>
        <v>8.9600000000000009</v>
      </c>
      <c r="H57" s="983">
        <v>3.77</v>
      </c>
      <c r="I57" s="983">
        <f>I55+I56</f>
        <v>14.423342509600003</v>
      </c>
      <c r="J57" s="445"/>
      <c r="K57" s="445"/>
      <c r="L57" s="983">
        <f>L55+L56</f>
        <v>5.2546080000000002</v>
      </c>
      <c r="M57" s="983">
        <f>M55+M56</f>
        <v>5.2546080000000002</v>
      </c>
      <c r="N57" s="490">
        <f t="shared" si="38"/>
        <v>3.6431277954486601</v>
      </c>
      <c r="O57" s="984">
        <f t="shared" ref="O57:T57" si="45">O55+O56</f>
        <v>19.271238</v>
      </c>
      <c r="P57" s="983">
        <f t="shared" si="45"/>
        <v>4.8478954903999973</v>
      </c>
      <c r="Q57" s="983">
        <f t="shared" si="45"/>
        <v>0</v>
      </c>
      <c r="R57" s="983">
        <f t="shared" si="45"/>
        <v>0</v>
      </c>
      <c r="S57" s="983">
        <f t="shared" si="45"/>
        <v>0</v>
      </c>
      <c r="T57" s="983">
        <f t="shared" si="45"/>
        <v>3.1155778271587278</v>
      </c>
      <c r="U57" s="446">
        <f t="shared" si="42"/>
        <v>6.4266604619021255</v>
      </c>
      <c r="V57" s="490">
        <f t="shared" si="12"/>
        <v>19.271238</v>
      </c>
      <c r="W57" s="985">
        <f t="shared" si="12"/>
        <v>0</v>
      </c>
      <c r="X57" s="985"/>
      <c r="Y57" s="985">
        <f>Y55+Y56</f>
        <v>8.3701858271587284</v>
      </c>
      <c r="Z57" s="985">
        <f t="shared" si="13"/>
        <v>8.3701858271587284</v>
      </c>
      <c r="AA57" s="985">
        <f t="shared" si="14"/>
        <v>4.3433565747871148</v>
      </c>
    </row>
    <row r="58" spans="1:35" ht="15.75" x14ac:dyDescent="0.2">
      <c r="A58" s="974" t="s">
        <v>1020</v>
      </c>
      <c r="B58" s="986"/>
      <c r="C58" s="986"/>
      <c r="D58" s="976"/>
      <c r="E58" s="986"/>
      <c r="F58" s="976"/>
      <c r="G58" s="987"/>
      <c r="H58" s="999"/>
      <c r="I58" s="445"/>
      <c r="J58" s="445"/>
      <c r="K58" s="445"/>
      <c r="L58" s="445"/>
      <c r="M58" s="445"/>
      <c r="N58" s="445"/>
      <c r="O58" s="978"/>
      <c r="P58" s="446"/>
      <c r="Q58" s="446"/>
      <c r="R58" s="446"/>
      <c r="S58" s="446"/>
      <c r="T58" s="446"/>
      <c r="U58" s="446"/>
      <c r="V58" s="446"/>
      <c r="W58" s="447"/>
      <c r="X58" s="447"/>
      <c r="Y58" s="447"/>
      <c r="Z58" s="447"/>
      <c r="AA58" s="447"/>
    </row>
    <row r="59" spans="1:35" ht="15.75" x14ac:dyDescent="0.2">
      <c r="A59" s="974" t="s">
        <v>1048</v>
      </c>
      <c r="B59" s="986"/>
      <c r="C59" s="986">
        <v>575</v>
      </c>
      <c r="D59" s="976"/>
      <c r="E59" s="986">
        <v>4.6900000000000004</v>
      </c>
      <c r="F59" s="976">
        <f t="shared" ref="F59:F65" si="46">C59*E59/10</f>
        <v>269.67500000000001</v>
      </c>
      <c r="G59" s="1000">
        <f>F59</f>
        <v>269.67500000000001</v>
      </c>
      <c r="H59" s="998">
        <f t="shared" ref="H59:H72" si="47">G59/C59*10</f>
        <v>4.6900000000000004</v>
      </c>
      <c r="I59" s="445"/>
      <c r="J59" s="445"/>
      <c r="K59" s="445"/>
      <c r="L59" s="445"/>
      <c r="M59" s="445"/>
      <c r="N59" s="445"/>
      <c r="O59" s="978"/>
      <c r="P59" s="446"/>
      <c r="Q59" s="446"/>
      <c r="R59" s="446"/>
      <c r="S59" s="446"/>
      <c r="T59" s="446"/>
      <c r="U59" s="446"/>
      <c r="V59" s="446"/>
      <c r="W59" s="447"/>
      <c r="X59" s="447"/>
      <c r="Y59" s="447"/>
      <c r="Z59" s="447"/>
      <c r="AA59" s="447"/>
    </row>
    <row r="60" spans="1:35" ht="15.75" x14ac:dyDescent="0.2">
      <c r="A60" s="974" t="s">
        <v>1021</v>
      </c>
      <c r="B60" s="986"/>
      <c r="C60" s="976">
        <v>2920</v>
      </c>
      <c r="D60" s="976">
        <v>0</v>
      </c>
      <c r="E60" s="976">
        <v>3.56</v>
      </c>
      <c r="F60" s="976">
        <f t="shared" si="46"/>
        <v>1039.52</v>
      </c>
      <c r="G60" s="977">
        <f>F60</f>
        <v>1039.52</v>
      </c>
      <c r="H60" s="998">
        <f t="shared" si="47"/>
        <v>3.5599999999999996</v>
      </c>
      <c r="I60" s="446">
        <f>'[12]Actuals apprd'!$F$76</f>
        <v>2072.9956006500001</v>
      </c>
      <c r="J60" s="445"/>
      <c r="K60" s="445"/>
      <c r="L60" s="446">
        <f>'[12]Actuals apprd'!$N$76</f>
        <v>738.50127506249999</v>
      </c>
      <c r="M60" s="446">
        <f t="shared" ref="M60:M73" si="48">J60+L60</f>
        <v>738.50127506249999</v>
      </c>
      <c r="N60" s="490">
        <f t="shared" ref="N60:N74" si="49">M60/I60*10</f>
        <v>3.5624835616194197</v>
      </c>
      <c r="O60" s="978">
        <v>2501</v>
      </c>
      <c r="P60" s="446">
        <f>O60-I60</f>
        <v>428.00439934999986</v>
      </c>
      <c r="Q60" s="446"/>
      <c r="R60" s="446"/>
      <c r="S60" s="446"/>
      <c r="T60" s="446">
        <f>P60*N60/10</f>
        <v>152.47586369851678</v>
      </c>
      <c r="U60" s="446">
        <f t="shared" si="42"/>
        <v>3.5624835616194197</v>
      </c>
      <c r="V60" s="446">
        <f t="shared" si="12"/>
        <v>2501</v>
      </c>
      <c r="W60" s="447">
        <f t="shared" si="12"/>
        <v>0</v>
      </c>
      <c r="X60" s="447"/>
      <c r="Y60" s="447">
        <f>M60+T60</f>
        <v>890.9771387610167</v>
      </c>
      <c r="Z60" s="447">
        <f t="shared" si="13"/>
        <v>890.9771387610167</v>
      </c>
      <c r="AA60" s="447">
        <f t="shared" si="14"/>
        <v>3.5624835616194188</v>
      </c>
    </row>
    <row r="61" spans="1:35" ht="15.75" x14ac:dyDescent="0.2">
      <c r="A61" s="974" t="s">
        <v>1022</v>
      </c>
      <c r="B61" s="986"/>
      <c r="C61" s="976">
        <v>6.92</v>
      </c>
      <c r="D61" s="976">
        <v>0</v>
      </c>
      <c r="E61" s="976">
        <v>3.49</v>
      </c>
      <c r="F61" s="976">
        <f t="shared" si="46"/>
        <v>2.4150800000000001</v>
      </c>
      <c r="G61" s="977">
        <f t="shared" ref="G61:G73" si="50">F61</f>
        <v>2.4150800000000001</v>
      </c>
      <c r="H61" s="998">
        <f t="shared" si="47"/>
        <v>3.49</v>
      </c>
      <c r="I61" s="446">
        <f>'[12]Actuals apprd'!$F$77</f>
        <v>3.1320299999999999</v>
      </c>
      <c r="J61" s="445"/>
      <c r="K61" s="445"/>
      <c r="L61" s="446">
        <f>'[12]Actuals apprd'!$N$77</f>
        <v>1.2055971999999999</v>
      </c>
      <c r="M61" s="446">
        <f t="shared" si="48"/>
        <v>1.2055971999999999</v>
      </c>
      <c r="N61" s="490">
        <f t="shared" si="49"/>
        <v>3.84925176323343</v>
      </c>
      <c r="O61" s="978">
        <f>C61-(C61*0.97%)</f>
        <v>6.8528760000000002</v>
      </c>
      <c r="P61" s="446">
        <f>O61-I61</f>
        <v>3.7208460000000003</v>
      </c>
      <c r="Q61" s="446"/>
      <c r="R61" s="446"/>
      <c r="S61" s="446"/>
      <c r="T61" s="446">
        <f>P61*N61/10</f>
        <v>1.4322473026220055</v>
      </c>
      <c r="U61" s="446">
        <f t="shared" si="42"/>
        <v>3.8492517632334295</v>
      </c>
      <c r="V61" s="446">
        <f t="shared" si="12"/>
        <v>6.8528760000000002</v>
      </c>
      <c r="W61" s="447">
        <f t="shared" si="12"/>
        <v>0</v>
      </c>
      <c r="X61" s="447"/>
      <c r="Y61" s="447">
        <f t="shared" ref="Y61:Y73" si="51">M61+T61</f>
        <v>2.6378445026220056</v>
      </c>
      <c r="Z61" s="447">
        <f t="shared" si="13"/>
        <v>2.6378445026220056</v>
      </c>
      <c r="AA61" s="447">
        <f t="shared" si="14"/>
        <v>3.84925176323343</v>
      </c>
    </row>
    <row r="62" spans="1:35" ht="15.75" x14ac:dyDescent="0.2">
      <c r="A62" s="974" t="s">
        <v>1023</v>
      </c>
      <c r="B62" s="986"/>
      <c r="C62" s="976">
        <v>342.53</v>
      </c>
      <c r="D62" s="976">
        <v>0</v>
      </c>
      <c r="E62" s="976">
        <v>3.17</v>
      </c>
      <c r="F62" s="976">
        <f t="shared" si="46"/>
        <v>108.58201</v>
      </c>
      <c r="G62" s="977">
        <f t="shared" si="50"/>
        <v>108.58201</v>
      </c>
      <c r="H62" s="998">
        <f t="shared" si="47"/>
        <v>3.17</v>
      </c>
      <c r="I62" s="446">
        <f>'[12]Actuals apprd'!$F$75</f>
        <v>297.87815135</v>
      </c>
      <c r="J62" s="445"/>
      <c r="K62" s="445"/>
      <c r="L62" s="446">
        <f>'[12]Actuals apprd'!$N$75</f>
        <v>94.461759799999996</v>
      </c>
      <c r="M62" s="446">
        <f t="shared" si="48"/>
        <v>94.461759799999996</v>
      </c>
      <c r="N62" s="490">
        <f t="shared" si="49"/>
        <v>3.1711543586494733</v>
      </c>
      <c r="O62" s="978">
        <v>342</v>
      </c>
      <c r="P62" s="446">
        <f>O62-I62</f>
        <v>44.121848650000004</v>
      </c>
      <c r="Q62" s="446"/>
      <c r="R62" s="446"/>
      <c r="S62" s="446"/>
      <c r="T62" s="446">
        <f>P62*N62/10</f>
        <v>13.991719265811989</v>
      </c>
      <c r="U62" s="446">
        <f t="shared" si="42"/>
        <v>3.1711543586494733</v>
      </c>
      <c r="V62" s="446">
        <f t="shared" si="12"/>
        <v>342</v>
      </c>
      <c r="W62" s="447">
        <f t="shared" si="12"/>
        <v>0</v>
      </c>
      <c r="X62" s="447"/>
      <c r="Y62" s="447">
        <f t="shared" si="51"/>
        <v>108.45347906581199</v>
      </c>
      <c r="Z62" s="447">
        <f t="shared" si="13"/>
        <v>108.45347906581199</v>
      </c>
      <c r="AA62" s="447">
        <f t="shared" si="14"/>
        <v>3.1711543586494733</v>
      </c>
    </row>
    <row r="63" spans="1:35" ht="15.75" x14ac:dyDescent="0.2">
      <c r="A63" s="974" t="s">
        <v>1024</v>
      </c>
      <c r="B63" s="986"/>
      <c r="C63" s="986"/>
      <c r="D63" s="976">
        <v>0</v>
      </c>
      <c r="E63" s="976">
        <v>4.3600000000000003</v>
      </c>
      <c r="F63" s="976">
        <f t="shared" si="46"/>
        <v>0</v>
      </c>
      <c r="G63" s="977">
        <f t="shared" si="50"/>
        <v>0</v>
      </c>
      <c r="H63" s="998" t="e">
        <f t="shared" si="47"/>
        <v>#DIV/0!</v>
      </c>
      <c r="I63" s="446"/>
      <c r="J63" s="445"/>
      <c r="K63" s="445"/>
      <c r="L63" s="446"/>
      <c r="M63" s="446">
        <f t="shared" si="48"/>
        <v>0</v>
      </c>
      <c r="N63" s="490"/>
      <c r="O63" s="992"/>
      <c r="P63" s="446"/>
      <c r="Q63" s="446"/>
      <c r="R63" s="446"/>
      <c r="S63" s="446"/>
      <c r="T63" s="446"/>
      <c r="U63" s="446"/>
      <c r="V63" s="446">
        <f t="shared" si="12"/>
        <v>0</v>
      </c>
      <c r="W63" s="447">
        <f t="shared" si="12"/>
        <v>0</v>
      </c>
      <c r="X63" s="447"/>
      <c r="Y63" s="447">
        <f t="shared" si="51"/>
        <v>0</v>
      </c>
      <c r="Z63" s="447">
        <f t="shared" si="13"/>
        <v>0</v>
      </c>
      <c r="AA63" s="447"/>
    </row>
    <row r="64" spans="1:35" ht="15.75" x14ac:dyDescent="0.2">
      <c r="A64" s="974" t="s">
        <v>1025</v>
      </c>
      <c r="B64" s="986"/>
      <c r="C64" s="986"/>
      <c r="D64" s="976">
        <v>0</v>
      </c>
      <c r="E64" s="976">
        <v>3.56</v>
      </c>
      <c r="F64" s="976">
        <f t="shared" si="46"/>
        <v>0</v>
      </c>
      <c r="G64" s="977">
        <f t="shared" si="50"/>
        <v>0</v>
      </c>
      <c r="H64" s="998" t="e">
        <f t="shared" si="47"/>
        <v>#DIV/0!</v>
      </c>
      <c r="I64" s="445"/>
      <c r="J64" s="445"/>
      <c r="K64" s="445"/>
      <c r="L64" s="445"/>
      <c r="M64" s="446">
        <f t="shared" si="48"/>
        <v>0</v>
      </c>
      <c r="N64" s="490"/>
      <c r="O64" s="992"/>
      <c r="P64" s="446"/>
      <c r="Q64" s="446"/>
      <c r="R64" s="446"/>
      <c r="S64" s="446"/>
      <c r="T64" s="446"/>
      <c r="U64" s="446"/>
      <c r="V64" s="446">
        <f t="shared" si="12"/>
        <v>0</v>
      </c>
      <c r="W64" s="447">
        <f t="shared" si="12"/>
        <v>0</v>
      </c>
      <c r="X64" s="447"/>
      <c r="Y64" s="447">
        <f t="shared" si="51"/>
        <v>0</v>
      </c>
      <c r="Z64" s="447">
        <f t="shared" si="13"/>
        <v>0</v>
      </c>
      <c r="AA64" s="447"/>
    </row>
    <row r="65" spans="1:27" ht="15.75" x14ac:dyDescent="0.2">
      <c r="A65" s="974" t="s">
        <v>1026</v>
      </c>
      <c r="B65" s="986"/>
      <c r="C65" s="976">
        <v>63.87</v>
      </c>
      <c r="D65" s="976">
        <v>0</v>
      </c>
      <c r="E65" s="976">
        <v>5.51</v>
      </c>
      <c r="F65" s="976">
        <f t="shared" si="46"/>
        <v>35.192369999999997</v>
      </c>
      <c r="G65" s="977">
        <f t="shared" si="50"/>
        <v>35.192369999999997</v>
      </c>
      <c r="H65" s="998">
        <f t="shared" si="47"/>
        <v>5.51</v>
      </c>
      <c r="I65" s="446">
        <f>'[12]Actuals apprd'!$F$74</f>
        <v>32.54175</v>
      </c>
      <c r="J65" s="445"/>
      <c r="K65" s="445"/>
      <c r="L65" s="446">
        <f>'[12]Actuals apprd'!$M$74</f>
        <v>17.933350300000001</v>
      </c>
      <c r="M65" s="446">
        <f t="shared" si="48"/>
        <v>17.933350300000001</v>
      </c>
      <c r="N65" s="490">
        <f t="shared" si="49"/>
        <v>5.5108745841880049</v>
      </c>
      <c r="O65" s="978">
        <f>C65-(C65*0.97%)</f>
        <v>63.250460999999994</v>
      </c>
      <c r="P65" s="446">
        <f>O65-I65</f>
        <v>30.708710999999994</v>
      </c>
      <c r="Q65" s="446"/>
      <c r="R65" s="446"/>
      <c r="S65" s="446"/>
      <c r="T65" s="446">
        <f>P65*N65/10</f>
        <v>16.923185496307457</v>
      </c>
      <c r="U65" s="446">
        <f t="shared" si="42"/>
        <v>5.5108745841880049</v>
      </c>
      <c r="V65" s="446">
        <f t="shared" si="12"/>
        <v>63.250460999999994</v>
      </c>
      <c r="W65" s="447">
        <f t="shared" si="12"/>
        <v>0</v>
      </c>
      <c r="X65" s="447"/>
      <c r="Y65" s="447">
        <f t="shared" si="51"/>
        <v>34.856535796307455</v>
      </c>
      <c r="Z65" s="447">
        <f t="shared" si="13"/>
        <v>34.856535796307455</v>
      </c>
      <c r="AA65" s="447">
        <f t="shared" si="14"/>
        <v>5.5108745841880049</v>
      </c>
    </row>
    <row r="66" spans="1:27" ht="15.75" x14ac:dyDescent="0.2">
      <c r="A66" s="979" t="s">
        <v>1027</v>
      </c>
      <c r="B66" s="986"/>
      <c r="C66" s="976"/>
      <c r="D66" s="976"/>
      <c r="E66" s="976"/>
      <c r="F66" s="976"/>
      <c r="G66" s="977"/>
      <c r="H66" s="998"/>
      <c r="I66" s="446">
        <f>'[12]Actuals apprd'!$F$79</f>
        <v>1076.7636337500001</v>
      </c>
      <c r="J66" s="445"/>
      <c r="K66" s="445"/>
      <c r="L66" s="446">
        <f>'[12]Actuals apprd'!$M$79</f>
        <v>511.3982740970003</v>
      </c>
      <c r="M66" s="446">
        <f t="shared" si="48"/>
        <v>511.3982740970003</v>
      </c>
      <c r="N66" s="490">
        <f t="shared" si="49"/>
        <v>4.7494014291323596</v>
      </c>
      <c r="O66" s="978">
        <f>C66-(C66*0.97%)</f>
        <v>0</v>
      </c>
      <c r="P66" s="446">
        <v>850</v>
      </c>
      <c r="Q66" s="446"/>
      <c r="R66" s="446"/>
      <c r="S66" s="446"/>
      <c r="T66" s="446">
        <f>P66*N66/10</f>
        <v>403.69912147625053</v>
      </c>
      <c r="U66" s="446">
        <f t="shared" si="42"/>
        <v>4.7494014291323587</v>
      </c>
      <c r="V66" s="446">
        <f t="shared" si="12"/>
        <v>1926.7636337500001</v>
      </c>
      <c r="W66" s="447">
        <f t="shared" si="12"/>
        <v>0</v>
      </c>
      <c r="X66" s="447"/>
      <c r="Y66" s="447">
        <f t="shared" si="51"/>
        <v>915.09739557325088</v>
      </c>
      <c r="Z66" s="447">
        <f t="shared" si="13"/>
        <v>915.09739557325088</v>
      </c>
      <c r="AA66" s="447">
        <f t="shared" si="14"/>
        <v>4.7494014291323596</v>
      </c>
    </row>
    <row r="67" spans="1:27" ht="15.75" x14ac:dyDescent="0.2">
      <c r="A67" s="974" t="s">
        <v>1049</v>
      </c>
      <c r="B67" s="986"/>
      <c r="C67" s="976">
        <v>380</v>
      </c>
      <c r="D67" s="976"/>
      <c r="E67" s="976">
        <v>6.52</v>
      </c>
      <c r="F67" s="976">
        <f t="shared" ref="F67:F73" si="52">C67*E67/10</f>
        <v>247.76</v>
      </c>
      <c r="G67" s="977">
        <f t="shared" si="50"/>
        <v>247.76</v>
      </c>
      <c r="H67" s="998">
        <f t="shared" si="47"/>
        <v>6.5200000000000005</v>
      </c>
      <c r="I67" s="446"/>
      <c r="J67" s="445"/>
      <c r="K67" s="445"/>
      <c r="L67" s="446"/>
      <c r="M67" s="446"/>
      <c r="N67" s="490"/>
      <c r="O67" s="978"/>
      <c r="P67" s="446"/>
      <c r="Q67" s="446"/>
      <c r="R67" s="446"/>
      <c r="S67" s="446"/>
      <c r="T67" s="446"/>
      <c r="U67" s="446"/>
      <c r="V67" s="446"/>
      <c r="W67" s="447"/>
      <c r="X67" s="447"/>
      <c r="Y67" s="447"/>
      <c r="Z67" s="447"/>
      <c r="AA67" s="447"/>
    </row>
    <row r="68" spans="1:27" ht="15.75" x14ac:dyDescent="0.2">
      <c r="A68" s="974" t="s">
        <v>1050</v>
      </c>
      <c r="B68" s="986"/>
      <c r="C68" s="976">
        <f>220</f>
        <v>220</v>
      </c>
      <c r="D68" s="976"/>
      <c r="E68" s="976">
        <v>6.82</v>
      </c>
      <c r="F68" s="976">
        <f t="shared" si="52"/>
        <v>150.04000000000002</v>
      </c>
      <c r="G68" s="977">
        <f t="shared" si="50"/>
        <v>150.04000000000002</v>
      </c>
      <c r="H68" s="998">
        <f t="shared" si="47"/>
        <v>6.82</v>
      </c>
      <c r="I68" s="446"/>
      <c r="J68" s="445"/>
      <c r="K68" s="445"/>
      <c r="L68" s="446"/>
      <c r="M68" s="446"/>
      <c r="N68" s="490"/>
      <c r="O68" s="978"/>
      <c r="P68" s="446"/>
      <c r="Q68" s="446"/>
      <c r="R68" s="446"/>
      <c r="S68" s="446"/>
      <c r="T68" s="446"/>
      <c r="U68" s="446"/>
      <c r="V68" s="446"/>
      <c r="W68" s="447"/>
      <c r="X68" s="447"/>
      <c r="Y68" s="447"/>
      <c r="Z68" s="447"/>
      <c r="AA68" s="447"/>
    </row>
    <row r="69" spans="1:27" ht="15.75" x14ac:dyDescent="0.2">
      <c r="A69" s="974" t="s">
        <v>1051</v>
      </c>
      <c r="B69" s="986"/>
      <c r="C69" s="976">
        <f>780-4</f>
        <v>776</v>
      </c>
      <c r="D69" s="976"/>
      <c r="E69" s="976">
        <v>4.8</v>
      </c>
      <c r="F69" s="976">
        <f t="shared" si="52"/>
        <v>372.47999999999996</v>
      </c>
      <c r="G69" s="977">
        <f t="shared" si="50"/>
        <v>372.47999999999996</v>
      </c>
      <c r="H69" s="998">
        <f t="shared" si="47"/>
        <v>4.7999999999999989</v>
      </c>
      <c r="I69" s="446"/>
      <c r="J69" s="445"/>
      <c r="K69" s="445"/>
      <c r="L69" s="446"/>
      <c r="M69" s="446"/>
      <c r="N69" s="490"/>
      <c r="O69" s="978"/>
      <c r="P69" s="446"/>
      <c r="Q69" s="446"/>
      <c r="R69" s="446"/>
      <c r="S69" s="446"/>
      <c r="T69" s="446"/>
      <c r="U69" s="446"/>
      <c r="V69" s="446"/>
      <c r="W69" s="447"/>
      <c r="X69" s="447"/>
      <c r="Y69" s="447"/>
      <c r="Z69" s="447"/>
      <c r="AA69" s="447"/>
    </row>
    <row r="70" spans="1:27" ht="15.75" x14ac:dyDescent="0.2">
      <c r="A70" s="974" t="s">
        <v>1052</v>
      </c>
      <c r="B70" s="975">
        <v>46.39</v>
      </c>
      <c r="C70" s="976">
        <f>750-50</f>
        <v>700</v>
      </c>
      <c r="D70" s="976">
        <v>0</v>
      </c>
      <c r="E70" s="976">
        <v>4.8</v>
      </c>
      <c r="F70" s="976">
        <f t="shared" si="52"/>
        <v>336</v>
      </c>
      <c r="G70" s="977">
        <f t="shared" si="50"/>
        <v>336</v>
      </c>
      <c r="H70" s="998">
        <f t="shared" si="47"/>
        <v>4.8</v>
      </c>
      <c r="I70" s="445"/>
      <c r="J70" s="445"/>
      <c r="K70" s="445"/>
      <c r="L70" s="445"/>
      <c r="M70" s="446"/>
      <c r="N70" s="490"/>
      <c r="O70" s="992"/>
      <c r="P70" s="446"/>
      <c r="Q70" s="446"/>
      <c r="R70" s="446"/>
      <c r="S70" s="446"/>
      <c r="T70" s="446"/>
      <c r="U70" s="446"/>
      <c r="V70" s="446">
        <f t="shared" si="12"/>
        <v>0</v>
      </c>
      <c r="W70" s="447">
        <f t="shared" si="12"/>
        <v>0</v>
      </c>
      <c r="X70" s="447"/>
      <c r="Y70" s="447">
        <f>L70+S70</f>
        <v>0</v>
      </c>
      <c r="Z70" s="447">
        <f t="shared" si="13"/>
        <v>0</v>
      </c>
      <c r="AA70" s="447"/>
    </row>
    <row r="71" spans="1:27" ht="15.75" x14ac:dyDescent="0.2">
      <c r="A71" s="974" t="s">
        <v>1053</v>
      </c>
      <c r="B71" s="975"/>
      <c r="C71" s="976">
        <v>88</v>
      </c>
      <c r="D71" s="976">
        <v>0</v>
      </c>
      <c r="E71" s="976">
        <v>8.35</v>
      </c>
      <c r="F71" s="976">
        <f t="shared" si="52"/>
        <v>73.47999999999999</v>
      </c>
      <c r="G71" s="977">
        <f t="shared" si="50"/>
        <v>73.47999999999999</v>
      </c>
      <c r="H71" s="998">
        <f t="shared" si="47"/>
        <v>8.3499999999999979</v>
      </c>
      <c r="I71" s="445"/>
      <c r="J71" s="445"/>
      <c r="K71" s="445"/>
      <c r="L71" s="445"/>
      <c r="M71" s="446"/>
      <c r="N71" s="490"/>
      <c r="O71" s="992"/>
      <c r="P71" s="446"/>
      <c r="Q71" s="446"/>
      <c r="R71" s="446"/>
      <c r="S71" s="446"/>
      <c r="T71" s="446"/>
      <c r="U71" s="446"/>
      <c r="V71" s="446"/>
      <c r="W71" s="447"/>
      <c r="X71" s="447"/>
      <c r="Y71" s="447"/>
      <c r="Z71" s="447"/>
      <c r="AA71" s="447"/>
    </row>
    <row r="72" spans="1:27" ht="15.75" x14ac:dyDescent="0.2">
      <c r="A72" s="974" t="s">
        <v>1054</v>
      </c>
      <c r="B72" s="975"/>
      <c r="C72" s="976">
        <f>563-88</f>
        <v>475</v>
      </c>
      <c r="D72" s="976">
        <v>0</v>
      </c>
      <c r="E72" s="976">
        <v>4.66</v>
      </c>
      <c r="F72" s="976">
        <f t="shared" si="52"/>
        <v>221.35</v>
      </c>
      <c r="G72" s="977">
        <f t="shared" si="50"/>
        <v>221.35</v>
      </c>
      <c r="H72" s="998">
        <f t="shared" si="47"/>
        <v>4.66</v>
      </c>
      <c r="I72" s="445"/>
      <c r="J72" s="445"/>
      <c r="K72" s="445"/>
      <c r="L72" s="445"/>
      <c r="M72" s="446"/>
      <c r="N72" s="490"/>
      <c r="O72" s="992"/>
      <c r="P72" s="446"/>
      <c r="Q72" s="446"/>
      <c r="R72" s="446"/>
      <c r="S72" s="446"/>
      <c r="T72" s="446"/>
      <c r="U72" s="446"/>
      <c r="V72" s="446"/>
      <c r="W72" s="447"/>
      <c r="X72" s="447"/>
      <c r="Y72" s="447"/>
      <c r="Z72" s="447"/>
      <c r="AA72" s="447"/>
    </row>
    <row r="73" spans="1:27" ht="15.75" x14ac:dyDescent="0.2">
      <c r="A73" s="974" t="s">
        <v>1055</v>
      </c>
      <c r="B73" s="986"/>
      <c r="C73" s="976">
        <v>3</v>
      </c>
      <c r="D73" s="976">
        <v>0</v>
      </c>
      <c r="E73" s="976">
        <v>6</v>
      </c>
      <c r="F73" s="976">
        <f t="shared" si="52"/>
        <v>1.8</v>
      </c>
      <c r="G73" s="977">
        <f t="shared" si="50"/>
        <v>1.8</v>
      </c>
      <c r="H73" s="998">
        <v>6.18</v>
      </c>
      <c r="I73" s="446">
        <f>'[12]Actuals apprd'!$F$78</f>
        <v>1.4610399999999999</v>
      </c>
      <c r="J73" s="445"/>
      <c r="K73" s="445"/>
      <c r="L73" s="446">
        <f>'[12]Actuals apprd'!$N$78</f>
        <v>0.87662399999999996</v>
      </c>
      <c r="M73" s="446">
        <f t="shared" si="48"/>
        <v>0.87662399999999996</v>
      </c>
      <c r="N73" s="490">
        <f t="shared" si="49"/>
        <v>6</v>
      </c>
      <c r="O73" s="978">
        <f>C73-(C73*0.97%)</f>
        <v>2.9708999999999999</v>
      </c>
      <c r="P73" s="446">
        <f>O73-I73</f>
        <v>1.50986</v>
      </c>
      <c r="Q73" s="446"/>
      <c r="R73" s="446"/>
      <c r="S73" s="446"/>
      <c r="T73" s="446">
        <f>P73*N73/10</f>
        <v>0.90591600000000005</v>
      </c>
      <c r="U73" s="446">
        <f t="shared" si="42"/>
        <v>6.0000000000000009</v>
      </c>
      <c r="V73" s="446">
        <f t="shared" si="12"/>
        <v>2.9708999999999999</v>
      </c>
      <c r="W73" s="447">
        <f t="shared" si="12"/>
        <v>0</v>
      </c>
      <c r="X73" s="447"/>
      <c r="Y73" s="447">
        <f t="shared" si="51"/>
        <v>1.78254</v>
      </c>
      <c r="Z73" s="447">
        <f t="shared" si="13"/>
        <v>1.78254</v>
      </c>
      <c r="AA73" s="447">
        <f t="shared" si="14"/>
        <v>6</v>
      </c>
    </row>
    <row r="74" spans="1:27" ht="15.75" x14ac:dyDescent="0.2">
      <c r="A74" s="979" t="s">
        <v>1030</v>
      </c>
      <c r="B74" s="980"/>
      <c r="C74" s="981">
        <f>SUM(C59:C73)</f>
        <v>6550.32</v>
      </c>
      <c r="D74" s="981">
        <f>SUM(D59:D73)</f>
        <v>0</v>
      </c>
      <c r="E74" s="981">
        <f>SUM(E59:E73)</f>
        <v>70.289999999999992</v>
      </c>
      <c r="F74" s="981">
        <f>SUM(F59:F73)</f>
        <v>2858.2944600000001</v>
      </c>
      <c r="G74" s="981">
        <f>SUM(G59:G73)</f>
        <v>2858.2944600000001</v>
      </c>
      <c r="H74" s="983">
        <v>4.33</v>
      </c>
      <c r="I74" s="983">
        <f>SUM(I60:I73)</f>
        <v>3484.7722057500005</v>
      </c>
      <c r="J74" s="445"/>
      <c r="K74" s="445"/>
      <c r="L74" s="983">
        <f>SUM(L60:L73)</f>
        <v>1364.3768804595004</v>
      </c>
      <c r="M74" s="983">
        <f>SUM(M60:M73)</f>
        <v>1364.3768804595004</v>
      </c>
      <c r="N74" s="490">
        <f t="shared" si="49"/>
        <v>3.9152541397346692</v>
      </c>
      <c r="O74" s="984">
        <f t="shared" ref="O74:T74" si="53">SUM(O60:O73)</f>
        <v>2916.0742369999998</v>
      </c>
      <c r="P74" s="983">
        <f t="shared" si="53"/>
        <v>1358.0656649999999</v>
      </c>
      <c r="Q74" s="983">
        <f t="shared" si="53"/>
        <v>0</v>
      </c>
      <c r="R74" s="983">
        <f t="shared" si="53"/>
        <v>0</v>
      </c>
      <c r="S74" s="983">
        <f t="shared" si="53"/>
        <v>0</v>
      </c>
      <c r="T74" s="983">
        <f t="shared" si="53"/>
        <v>589.42805323950881</v>
      </c>
      <c r="U74" s="490">
        <f t="shared" si="42"/>
        <v>4.3402028961501573</v>
      </c>
      <c r="V74" s="490">
        <f t="shared" si="12"/>
        <v>4842.8378707500005</v>
      </c>
      <c r="W74" s="985">
        <f t="shared" si="12"/>
        <v>0</v>
      </c>
      <c r="X74" s="985"/>
      <c r="Y74" s="983">
        <f>SUM(Y60:Y73)</f>
        <v>1953.8049336990089</v>
      </c>
      <c r="Z74" s="985">
        <f t="shared" si="13"/>
        <v>1953.8049336990089</v>
      </c>
      <c r="AA74" s="985">
        <f t="shared" si="14"/>
        <v>4.0344215227598088</v>
      </c>
    </row>
    <row r="75" spans="1:27" ht="15.75" x14ac:dyDescent="0.2">
      <c r="A75" s="979" t="s">
        <v>1056</v>
      </c>
      <c r="B75" s="980"/>
      <c r="C75" s="981"/>
      <c r="D75" s="981"/>
      <c r="E75" s="980"/>
      <c r="F75" s="981"/>
      <c r="G75" s="982"/>
      <c r="H75" s="983"/>
      <c r="I75" s="983"/>
      <c r="J75" s="445"/>
      <c r="K75" s="445"/>
      <c r="L75" s="983"/>
      <c r="M75" s="983"/>
      <c r="N75" s="490"/>
      <c r="O75" s="984"/>
      <c r="P75" s="983"/>
      <c r="Q75" s="983"/>
      <c r="R75" s="983"/>
      <c r="S75" s="983"/>
      <c r="T75" s="983"/>
      <c r="U75" s="490"/>
      <c r="V75" s="490"/>
      <c r="W75" s="985"/>
      <c r="X75" s="985"/>
      <c r="Y75" s="983"/>
      <c r="Z75" s="985"/>
      <c r="AA75" s="985"/>
    </row>
    <row r="76" spans="1:27" ht="15.75" x14ac:dyDescent="0.2">
      <c r="A76" s="974" t="s">
        <v>1057</v>
      </c>
      <c r="B76" s="975">
        <v>46.643000000000001</v>
      </c>
      <c r="C76" s="976">
        <v>200.01</v>
      </c>
      <c r="D76" s="976">
        <v>0</v>
      </c>
      <c r="E76" s="976">
        <f>F76/C76*10</f>
        <v>2.8498575071246441</v>
      </c>
      <c r="F76" s="976">
        <v>57</v>
      </c>
      <c r="G76" s="977">
        <f>F76</f>
        <v>57</v>
      </c>
      <c r="H76" s="998">
        <f>E76</f>
        <v>2.8498575071246441</v>
      </c>
      <c r="I76" s="446">
        <f>'[12]Actuals apprd'!$F$81+'[12]Actuals apprd'!$F$60+'[12]Actuals apprd'!$F$61</f>
        <v>898.20795609799984</v>
      </c>
      <c r="J76" s="445"/>
      <c r="K76" s="445"/>
      <c r="L76" s="446">
        <f>'[12]Actuals apprd'!$N$60+'[12]Actuals apprd'!$N$61+'[12]Actuals apprd'!$N$81</f>
        <v>347.47548327999999</v>
      </c>
      <c r="M76" s="446">
        <f>J76+L76</f>
        <v>347.47548327999999</v>
      </c>
      <c r="N76" s="490">
        <f>M76/I76*10</f>
        <v>3.8685415879581493</v>
      </c>
      <c r="O76" s="978">
        <v>1788</v>
      </c>
      <c r="P76" s="446">
        <v>890</v>
      </c>
      <c r="Q76" s="446"/>
      <c r="R76" s="446"/>
      <c r="S76" s="446"/>
      <c r="T76" s="446">
        <f>P76*N76/10</f>
        <v>344.30020132827531</v>
      </c>
      <c r="U76" s="446">
        <f>T76/P76*10</f>
        <v>3.8685415879581497</v>
      </c>
      <c r="V76" s="446">
        <f t="shared" si="12"/>
        <v>1788.2079560979998</v>
      </c>
      <c r="W76" s="447">
        <f t="shared" si="12"/>
        <v>0</v>
      </c>
      <c r="X76" s="447"/>
      <c r="Y76" s="447">
        <f>L76+T76</f>
        <v>691.77568460827524</v>
      </c>
      <c r="Z76" s="447">
        <f t="shared" si="13"/>
        <v>691.77568460827524</v>
      </c>
      <c r="AA76" s="447">
        <f t="shared" si="14"/>
        <v>3.8685415879581493</v>
      </c>
    </row>
    <row r="77" spans="1:27" ht="15.75" x14ac:dyDescent="0.2">
      <c r="A77" s="974" t="s">
        <v>1032</v>
      </c>
      <c r="B77" s="975">
        <v>47.787999999999997</v>
      </c>
      <c r="C77" s="976"/>
      <c r="D77" s="976">
        <v>0</v>
      </c>
      <c r="E77" s="976"/>
      <c r="F77" s="976"/>
      <c r="G77" s="977"/>
      <c r="H77" s="998"/>
      <c r="I77" s="446">
        <f>'[12]Actuals apprd'!$F$73</f>
        <v>84.349705689999993</v>
      </c>
      <c r="J77" s="445"/>
      <c r="K77" s="445"/>
      <c r="L77" s="446">
        <f>'[12]Actuals apprd'!$N$73</f>
        <v>39.553691299999997</v>
      </c>
      <c r="M77" s="446">
        <f>J77+L77</f>
        <v>39.553691299999997</v>
      </c>
      <c r="N77" s="490">
        <f>M77/I77*10</f>
        <v>4.6892506590795673</v>
      </c>
      <c r="O77" s="978">
        <f>C77-(C77*0.97%)</f>
        <v>0</v>
      </c>
      <c r="P77" s="446">
        <f>O77-I77</f>
        <v>-84.349705689999993</v>
      </c>
      <c r="Q77" s="446"/>
      <c r="R77" s="446"/>
      <c r="S77" s="446"/>
      <c r="T77" s="446">
        <f>P77*N77/10</f>
        <v>-39.553691299999997</v>
      </c>
      <c r="U77" s="446">
        <f>T77/P77*10</f>
        <v>4.6892506590795673</v>
      </c>
      <c r="V77" s="446">
        <f t="shared" si="12"/>
        <v>0</v>
      </c>
      <c r="W77" s="447">
        <f t="shared" si="12"/>
        <v>0</v>
      </c>
      <c r="X77" s="447"/>
      <c r="Y77" s="447">
        <f>L77+T77</f>
        <v>0</v>
      </c>
      <c r="Z77" s="447">
        <f t="shared" si="13"/>
        <v>0</v>
      </c>
      <c r="AA77" s="447" t="e">
        <f t="shared" si="14"/>
        <v>#DIV/0!</v>
      </c>
    </row>
    <row r="78" spans="1:27" ht="15.75" x14ac:dyDescent="0.2">
      <c r="A78" s="974" t="s">
        <v>1033</v>
      </c>
      <c r="B78" s="975">
        <v>50</v>
      </c>
      <c r="C78" s="976"/>
      <c r="D78" s="976">
        <v>0</v>
      </c>
      <c r="E78" s="976"/>
      <c r="F78" s="976"/>
      <c r="G78" s="977"/>
      <c r="H78" s="998"/>
      <c r="I78" s="446">
        <f>'[12]Actuals apprd'!$F$101</f>
        <v>482.91697399999998</v>
      </c>
      <c r="J78" s="445"/>
      <c r="K78" s="445"/>
      <c r="L78" s="445"/>
      <c r="M78" s="446">
        <f>'[12]Actuals apprd'!$N$101</f>
        <v>197.02962719999999</v>
      </c>
      <c r="N78" s="995">
        <f>M78/I78*10</f>
        <v>4.0799896836925011</v>
      </c>
      <c r="O78" s="978"/>
      <c r="P78" s="446"/>
      <c r="Q78" s="446"/>
      <c r="R78" s="446"/>
      <c r="S78" s="446"/>
      <c r="T78" s="446">
        <f>P78*N78/10</f>
        <v>0</v>
      </c>
      <c r="U78" s="446"/>
      <c r="V78" s="446">
        <f t="shared" si="12"/>
        <v>482.91697399999998</v>
      </c>
      <c r="W78" s="447">
        <f t="shared" si="12"/>
        <v>0</v>
      </c>
      <c r="X78" s="447"/>
      <c r="Y78" s="447">
        <f>M78+S78</f>
        <v>197.02962719999999</v>
      </c>
      <c r="Z78" s="447">
        <f t="shared" si="13"/>
        <v>197.02962719999999</v>
      </c>
      <c r="AA78" s="447">
        <f t="shared" si="14"/>
        <v>4.0799896836925011</v>
      </c>
    </row>
    <row r="79" spans="1:27" ht="15.75" x14ac:dyDescent="0.2">
      <c r="A79" s="974" t="s">
        <v>1034</v>
      </c>
      <c r="B79" s="986"/>
      <c r="C79" s="986"/>
      <c r="D79" s="976"/>
      <c r="E79" s="986"/>
      <c r="F79" s="976"/>
      <c r="G79" s="987"/>
      <c r="H79" s="999"/>
      <c r="I79" s="445"/>
      <c r="J79" s="445"/>
      <c r="K79" s="445"/>
      <c r="L79" s="445"/>
      <c r="M79" s="445"/>
      <c r="N79" s="445"/>
      <c r="O79" s="978"/>
      <c r="P79" s="446"/>
      <c r="Q79" s="446"/>
      <c r="R79" s="446"/>
      <c r="S79" s="446"/>
      <c r="T79" s="446"/>
      <c r="U79" s="446"/>
      <c r="V79" s="446"/>
      <c r="W79" s="447"/>
      <c r="X79" s="447"/>
      <c r="Y79" s="447"/>
      <c r="Z79" s="447"/>
      <c r="AA79" s="447"/>
    </row>
    <row r="80" spans="1:27" ht="15.75" x14ac:dyDescent="0.2">
      <c r="A80" s="974" t="s">
        <v>1035</v>
      </c>
      <c r="B80" s="986"/>
      <c r="C80" s="986"/>
      <c r="D80" s="976"/>
      <c r="E80" s="986"/>
      <c r="F80" s="976">
        <v>0</v>
      </c>
      <c r="G80" s="977">
        <v>1125.7</v>
      </c>
      <c r="H80" s="999"/>
      <c r="I80" s="445"/>
      <c r="J80" s="445"/>
      <c r="K80" s="445"/>
      <c r="L80" s="445"/>
      <c r="M80" s="446">
        <f>'[12]Actuals apprd'!$N$59</f>
        <v>485.69514090000001</v>
      </c>
      <c r="N80" s="445"/>
      <c r="O80" s="978"/>
      <c r="P80" s="446"/>
      <c r="Q80" s="446"/>
      <c r="R80" s="446"/>
      <c r="S80" s="446"/>
      <c r="T80" s="446">
        <f>90*6</f>
        <v>540</v>
      </c>
      <c r="U80" s="446"/>
      <c r="V80" s="446">
        <f t="shared" si="12"/>
        <v>0</v>
      </c>
      <c r="W80" s="447">
        <f t="shared" si="12"/>
        <v>0</v>
      </c>
      <c r="X80" s="447"/>
      <c r="Y80" s="447"/>
      <c r="Z80" s="447">
        <f>M80+T80</f>
        <v>1025.6951409000001</v>
      </c>
      <c r="AA80" s="447"/>
    </row>
    <row r="81" spans="1:27" ht="15.75" x14ac:dyDescent="0.2">
      <c r="A81" s="974" t="s">
        <v>1036</v>
      </c>
      <c r="B81" s="986"/>
      <c r="C81" s="986"/>
      <c r="D81" s="976"/>
      <c r="E81" s="986"/>
      <c r="F81" s="976">
        <v>0</v>
      </c>
      <c r="G81" s="977">
        <f>145*12</f>
        <v>1740</v>
      </c>
      <c r="H81" s="999"/>
      <c r="I81" s="445"/>
      <c r="J81" s="445"/>
      <c r="K81" s="445"/>
      <c r="L81" s="445"/>
      <c r="M81" s="446">
        <f>'[12]Actuals apprd'!$N$107</f>
        <v>764.3299968</v>
      </c>
      <c r="N81" s="445"/>
      <c r="O81" s="978"/>
      <c r="P81" s="446"/>
      <c r="Q81" s="446"/>
      <c r="R81" s="446"/>
      <c r="S81" s="446"/>
      <c r="T81" s="446">
        <f>G81-M81</f>
        <v>975.6700032</v>
      </c>
      <c r="U81" s="446"/>
      <c r="V81" s="446">
        <f t="shared" ref="V81:W85" si="54">I81+P81</f>
        <v>0</v>
      </c>
      <c r="W81" s="447">
        <f t="shared" si="54"/>
        <v>0</v>
      </c>
      <c r="X81" s="447"/>
      <c r="Y81" s="447"/>
      <c r="Z81" s="447">
        <f>M81+T81</f>
        <v>1740</v>
      </c>
      <c r="AA81" s="447"/>
    </row>
    <row r="82" spans="1:27" ht="15.75" x14ac:dyDescent="0.2">
      <c r="A82" s="974" t="s">
        <v>1037</v>
      </c>
      <c r="B82" s="986"/>
      <c r="C82" s="986"/>
      <c r="D82" s="976"/>
      <c r="E82" s="986"/>
      <c r="F82" s="976">
        <v>0</v>
      </c>
      <c r="G82" s="977">
        <f>16.02+2.84-0.26</f>
        <v>18.599999999999998</v>
      </c>
      <c r="H82" s="999"/>
      <c r="I82" s="445"/>
      <c r="J82" s="445"/>
      <c r="K82" s="445"/>
      <c r="L82" s="445"/>
      <c r="M82" s="446">
        <f>'[12]Actuals apprd'!$N$108</f>
        <v>7.5149999999999997</v>
      </c>
      <c r="N82" s="445"/>
      <c r="O82" s="978"/>
      <c r="P82" s="446"/>
      <c r="Q82" s="446"/>
      <c r="R82" s="446"/>
      <c r="S82" s="446"/>
      <c r="T82" s="446">
        <f>G82-M82</f>
        <v>11.084999999999997</v>
      </c>
      <c r="U82" s="446"/>
      <c r="V82" s="446">
        <f t="shared" si="54"/>
        <v>0</v>
      </c>
      <c r="W82" s="447">
        <f t="shared" si="54"/>
        <v>0</v>
      </c>
      <c r="X82" s="447"/>
      <c r="Y82" s="447"/>
      <c r="Z82" s="447">
        <f>M82+T82</f>
        <v>18.599999999999998</v>
      </c>
      <c r="AA82" s="447"/>
    </row>
    <row r="83" spans="1:27" ht="15.75" x14ac:dyDescent="0.2">
      <c r="A83" s="970" t="s">
        <v>1038</v>
      </c>
      <c r="B83" s="986"/>
      <c r="C83" s="986"/>
      <c r="D83" s="976"/>
      <c r="E83" s="986"/>
      <c r="F83" s="976">
        <v>0</v>
      </c>
      <c r="G83" s="977">
        <v>1.08</v>
      </c>
      <c r="H83" s="999"/>
      <c r="I83" s="445"/>
      <c r="J83" s="445"/>
      <c r="K83" s="445"/>
      <c r="L83" s="445"/>
      <c r="M83" s="446">
        <f>'[12]Actuals apprd'!$N$113+'[12]Actuals apprd'!$N$109</f>
        <v>1.6792</v>
      </c>
      <c r="N83" s="445"/>
      <c r="O83" s="978"/>
      <c r="P83" s="446"/>
      <c r="Q83" s="446"/>
      <c r="R83" s="446"/>
      <c r="S83" s="446"/>
      <c r="T83" s="446">
        <v>1.68</v>
      </c>
      <c r="U83" s="446"/>
      <c r="V83" s="446">
        <f t="shared" si="54"/>
        <v>0</v>
      </c>
      <c r="W83" s="447">
        <f t="shared" si="54"/>
        <v>0</v>
      </c>
      <c r="X83" s="447"/>
      <c r="Y83" s="447"/>
      <c r="Z83" s="447">
        <f>M83+T83</f>
        <v>3.3592</v>
      </c>
      <c r="AA83" s="447"/>
    </row>
    <row r="84" spans="1:27" ht="15.75" x14ac:dyDescent="0.2">
      <c r="A84" s="970"/>
      <c r="B84" s="986"/>
      <c r="C84" s="986"/>
      <c r="D84" s="976"/>
      <c r="E84" s="986"/>
      <c r="F84" s="976"/>
      <c r="G84" s="977"/>
      <c r="H84" s="999"/>
      <c r="I84" s="446">
        <f>'[12]Actuals apprd'!$F$110</f>
        <v>795.01</v>
      </c>
      <c r="J84" s="445"/>
      <c r="K84" s="445"/>
      <c r="L84" s="445"/>
      <c r="M84" s="446">
        <f>'[12]Actuals apprd'!$N$110</f>
        <v>280.02999999999997</v>
      </c>
      <c r="N84" s="445"/>
      <c r="O84" s="978"/>
      <c r="P84" s="446">
        <f>-600-129.64-158.31</f>
        <v>-887.95</v>
      </c>
      <c r="Q84" s="446"/>
      <c r="R84" s="446"/>
      <c r="S84" s="446"/>
      <c r="T84" s="446">
        <f>P84*4.81/10</f>
        <v>-427.10395</v>
      </c>
      <c r="U84" s="446"/>
      <c r="V84" s="446">
        <f t="shared" si="54"/>
        <v>-92.940000000000055</v>
      </c>
      <c r="W84" s="447">
        <f t="shared" si="54"/>
        <v>0</v>
      </c>
      <c r="X84" s="447"/>
      <c r="Y84" s="447"/>
      <c r="Z84" s="447">
        <f>M84+T84</f>
        <v>-147.07395000000002</v>
      </c>
      <c r="AA84" s="447"/>
    </row>
    <row r="85" spans="1:27" ht="31.5" x14ac:dyDescent="0.2">
      <c r="A85" s="979" t="s">
        <v>1040</v>
      </c>
      <c r="B85" s="986"/>
      <c r="C85" s="981">
        <f>C13+C37+C39+C53+C57+C74+C76+C77+C78+C79+C80+C81+C82+C83</f>
        <v>34091.829999999994</v>
      </c>
      <c r="D85" s="981">
        <f>D13+D37+D39+D53+D57+D74+D76+D77+D78+D79+D80+D81+D82+D83</f>
        <v>4826.5253140000004</v>
      </c>
      <c r="E85" s="981">
        <f>E13+E37+E39+E53+E57+E74+E76+E77+E78+E79+E80+E81+E82+E83</f>
        <v>83.809857507124633</v>
      </c>
      <c r="F85" s="981">
        <f>F13+F37+F39+F53+F57+F74+F76+F77+F78+F79+F80+F81+F82+F83</f>
        <v>12422.623591800002</v>
      </c>
      <c r="G85" s="982">
        <f>G13+G37+G39+G53+G57+G74+G76+G77+G78+G79+G80+G81+G82+G83</f>
        <v>20134.528905800002</v>
      </c>
      <c r="H85" s="983">
        <f>G85/C85*10</f>
        <v>5.9059689391270584</v>
      </c>
      <c r="I85" s="983">
        <f>I13+I37+I39+I53+I57+I74+I76+I77+I78+I79+I80+I81+I82+I83+I84</f>
        <v>15390.504159162478</v>
      </c>
      <c r="J85" s="983" t="e">
        <f>J13+J37+J39+J53+J57+J74+J76+J77+J78+J79+J80+J81+J82+J83</f>
        <v>#REF!</v>
      </c>
      <c r="K85" s="445"/>
      <c r="L85" s="983" t="e">
        <f>L13+L37+L39+L53+L57+L74+L76+L77+L78+L79+L80+L81+L82+L83</f>
        <v>#REF!</v>
      </c>
      <c r="M85" s="983" t="e">
        <f>M13+M37+M39+M53+M57+M74+M76+M77+M78+M79+M80+M81+M82+M83+M84</f>
        <v>#REF!</v>
      </c>
      <c r="N85" s="490" t="e">
        <f>M85/I85*10</f>
        <v>#REF!</v>
      </c>
      <c r="O85" s="984">
        <f>O13+O37+O39+O53+O57+O74+O76+O77+O78+O79+O80+O81+O82+O83</f>
        <v>30814.265844000005</v>
      </c>
      <c r="P85" s="983">
        <f>P13+P37+P39+P53+P57+P74+P76+P77+P78+P79+P80+P81+P82+P83+P84</f>
        <v>17101.201849289573</v>
      </c>
      <c r="Q85" s="983">
        <f>Q13+Q37+Q39+Q53+Q57+Q74+Q76+Q77+Q78+Q79+Q80+Q81+Q82+Q83+Q84</f>
        <v>2290.620886120344</v>
      </c>
      <c r="R85" s="983">
        <f>R13+R37+R39+R53+R57+R74+R76+R77+R78+R79+R80+R81+R82+R83+R84</f>
        <v>0</v>
      </c>
      <c r="S85" s="983">
        <f>S13+S37+S39+S53+S57+S74+S76+S77+S78+S79+S80+S81+S82+S83+S84</f>
        <v>4354.6688452883491</v>
      </c>
      <c r="T85" s="983">
        <f>T13+T37+T39+T53+T57+T74+T76+T77+T78+T79+T80+T81+T82+T83+T84</f>
        <v>8966.3820648905003</v>
      </c>
      <c r="U85" s="983">
        <f>T85/P85*10</f>
        <v>5.2431297776085763</v>
      </c>
      <c r="V85" s="490">
        <f t="shared" si="54"/>
        <v>32491.706008452049</v>
      </c>
      <c r="W85" s="985" t="e">
        <f t="shared" si="54"/>
        <v>#REF!</v>
      </c>
      <c r="X85" s="447"/>
      <c r="Y85" s="983" t="e">
        <f>Y13+Y37+Y39+Y53+Y57+Y74+Y76+Y77+Y78+Y79+Y80+Y81+Y82+Y83+Y84</f>
        <v>#REF!</v>
      </c>
      <c r="Z85" s="983" t="e">
        <f>Z13+Z37+Z39+Z53+Z57+Z74+Z76+Z77+Z78+Z79+Z80+Z81+Z82+Z83+Z84</f>
        <v>#REF!</v>
      </c>
      <c r="AA85" s="985" t="e">
        <f>Z85/V85*10</f>
        <v>#REF!</v>
      </c>
    </row>
    <row r="86" spans="1:27" ht="15" hidden="1" x14ac:dyDescent="0.2">
      <c r="A86" t="s">
        <v>119</v>
      </c>
      <c r="B86" s="1008"/>
      <c r="C86" s="1008">
        <v>34091.83</v>
      </c>
      <c r="D86" s="1008"/>
      <c r="E86" s="1008"/>
      <c r="F86" s="1008"/>
      <c r="G86" s="1008"/>
      <c r="H86" s="1008"/>
      <c r="I86" s="1008"/>
      <c r="J86" s="1008"/>
      <c r="K86" s="1008"/>
      <c r="L86" s="1008"/>
      <c r="M86" s="1008"/>
      <c r="N86" s="1008"/>
      <c r="O86" s="1009"/>
      <c r="P86" s="1010">
        <f>P85+I85</f>
        <v>32491.706008452049</v>
      </c>
      <c r="Q86" s="1008"/>
      <c r="R86" s="1008"/>
      <c r="S86" s="1008"/>
      <c r="T86" s="1010" t="e">
        <f>T85+M85</f>
        <v>#REF!</v>
      </c>
      <c r="U86" s="1011" t="e">
        <f>T86/P86*10</f>
        <v>#REF!</v>
      </c>
      <c r="V86" s="1011"/>
      <c r="Z86" s="448" t="e">
        <f>T86-Z85</f>
        <v>#REF!</v>
      </c>
    </row>
    <row r="87" spans="1:27" hidden="1" x14ac:dyDescent="0.2">
      <c r="C87" s="448">
        <f>C85-C86</f>
        <v>0</v>
      </c>
      <c r="I87" s="448">
        <f>'[12]Actuals apprd'!$F$118</f>
        <v>15170.821794060859</v>
      </c>
      <c r="M87" s="448">
        <f>'[12]Actuals apprd'!$N$118</f>
        <v>8468.5917606985859</v>
      </c>
      <c r="O87" s="1002"/>
    </row>
    <row r="88" spans="1:27" hidden="1" x14ac:dyDescent="0.2">
      <c r="G88" s="448">
        <f>G13+G37+G39+G53+G74+G76+G80+G81+G82+G83+G57</f>
        <v>20134.528905800002</v>
      </c>
      <c r="O88" s="1002"/>
      <c r="P88">
        <v>32114.97</v>
      </c>
      <c r="T88" s="448" t="e">
        <f>T86-G85</f>
        <v>#REF!</v>
      </c>
    </row>
    <row r="89" spans="1:27" hidden="1" x14ac:dyDescent="0.2">
      <c r="G89" s="448">
        <f>G88-G85</f>
        <v>0</v>
      </c>
      <c r="I89" s="448">
        <f>I85-I87</f>
        <v>219.68236510161842</v>
      </c>
      <c r="M89" s="448" t="e">
        <f>M85-M87</f>
        <v>#REF!</v>
      </c>
      <c r="O89" s="1002"/>
      <c r="P89" s="448">
        <f>P86-P88</f>
        <v>376.73600845204783</v>
      </c>
    </row>
    <row r="90" spans="1:27" hidden="1" x14ac:dyDescent="0.2">
      <c r="G90">
        <v>20134.53</v>
      </c>
      <c r="O90" s="1002"/>
    </row>
    <row r="91" spans="1:27" hidden="1" x14ac:dyDescent="0.2">
      <c r="G91" s="448">
        <f>G88-G90</f>
        <v>-1.0941999971691985E-3</v>
      </c>
      <c r="O91" s="1002"/>
    </row>
    <row r="92" spans="1:27" hidden="1" x14ac:dyDescent="0.2">
      <c r="O92" s="1002"/>
    </row>
    <row r="93" spans="1:27" hidden="1" x14ac:dyDescent="0.2">
      <c r="O93" s="1002"/>
    </row>
    <row r="94" spans="1:27" ht="18.75" x14ac:dyDescent="0.3">
      <c r="A94" s="1012" t="s">
        <v>1062</v>
      </c>
      <c r="O94" s="1002"/>
    </row>
    <row r="95" spans="1:27" ht="15" x14ac:dyDescent="0.25">
      <c r="A95" s="366" t="s">
        <v>1063</v>
      </c>
      <c r="O95" s="1002"/>
    </row>
    <row r="96" spans="1:27" x14ac:dyDescent="0.2">
      <c r="A96" s="1823" t="s">
        <v>1064</v>
      </c>
      <c r="B96" s="1823"/>
      <c r="C96" s="1823"/>
      <c r="D96" s="1823"/>
      <c r="E96" s="1823"/>
      <c r="F96" s="1823"/>
      <c r="G96" s="1823"/>
      <c r="H96" s="1823"/>
      <c r="O96" s="1002"/>
    </row>
    <row r="97" spans="1:27" ht="15" x14ac:dyDescent="0.25">
      <c r="A97" s="366" t="s">
        <v>1065</v>
      </c>
      <c r="O97" s="1002"/>
    </row>
    <row r="98" spans="1:27" x14ac:dyDescent="0.2">
      <c r="A98" s="1823" t="s">
        <v>1066</v>
      </c>
      <c r="B98" s="1823"/>
      <c r="C98" s="1823"/>
      <c r="D98" s="1823"/>
      <c r="E98" s="1823"/>
      <c r="F98" s="1823"/>
      <c r="G98" s="1823"/>
      <c r="H98" s="1823"/>
      <c r="O98" s="1002"/>
    </row>
    <row r="99" spans="1:27" ht="15" x14ac:dyDescent="0.25">
      <c r="A99" s="366" t="s">
        <v>1067</v>
      </c>
      <c r="O99" s="1002"/>
    </row>
    <row r="100" spans="1:27" x14ac:dyDescent="0.2">
      <c r="A100" s="1823" t="s">
        <v>1068</v>
      </c>
      <c r="B100" s="1823"/>
      <c r="C100" s="1823"/>
      <c r="D100" s="1823"/>
      <c r="E100" s="1823"/>
      <c r="F100" s="1823"/>
      <c r="G100" s="1823"/>
      <c r="H100" s="1823"/>
      <c r="O100" s="1002"/>
    </row>
    <row r="101" spans="1:27" ht="15" x14ac:dyDescent="0.25">
      <c r="A101" s="1013" t="s">
        <v>1069</v>
      </c>
      <c r="B101" s="668"/>
      <c r="C101" s="668"/>
      <c r="D101" s="668"/>
      <c r="E101" s="668"/>
      <c r="F101" s="668"/>
      <c r="G101" s="668"/>
      <c r="H101" s="668"/>
      <c r="O101" s="1002"/>
    </row>
    <row r="102" spans="1:27" x14ac:dyDescent="0.2">
      <c r="A102" s="1821" t="s">
        <v>1070</v>
      </c>
      <c r="B102" s="1821"/>
      <c r="C102" s="1821"/>
      <c r="D102" s="1821"/>
      <c r="E102" s="1821"/>
      <c r="F102" s="1821"/>
      <c r="G102" s="1821"/>
      <c r="H102" s="1821"/>
      <c r="O102" s="1002"/>
    </row>
    <row r="103" spans="1:27" x14ac:dyDescent="0.2">
      <c r="A103" s="1821" t="s">
        <v>1071</v>
      </c>
      <c r="B103" s="1821"/>
      <c r="C103" s="1821"/>
      <c r="D103" s="1821"/>
      <c r="E103" s="1821"/>
      <c r="F103" s="1821"/>
      <c r="G103" s="1821"/>
      <c r="H103" s="1821"/>
      <c r="O103" s="1002"/>
    </row>
    <row r="104" spans="1:27" ht="15" x14ac:dyDescent="0.25">
      <c r="A104" s="1013" t="s">
        <v>1072</v>
      </c>
      <c r="B104" s="668"/>
      <c r="C104" s="668"/>
      <c r="D104" s="668"/>
      <c r="E104" s="668"/>
      <c r="F104" s="668"/>
      <c r="G104" s="668"/>
      <c r="H104" s="668"/>
      <c r="O104" s="1002"/>
    </row>
    <row r="105" spans="1:27" x14ac:dyDescent="0.2">
      <c r="A105" s="1821" t="s">
        <v>1073</v>
      </c>
      <c r="B105" s="1821"/>
      <c r="C105" s="1821"/>
      <c r="D105" s="1821"/>
      <c r="E105" s="1821"/>
      <c r="F105" s="1821"/>
      <c r="G105" s="1821"/>
      <c r="H105" s="1821"/>
      <c r="O105" s="1002"/>
    </row>
    <row r="106" spans="1:27" ht="15" x14ac:dyDescent="0.2">
      <c r="A106" s="1015" t="s">
        <v>1074</v>
      </c>
      <c r="B106" s="1014"/>
      <c r="C106" s="1014"/>
      <c r="D106" s="1014"/>
      <c r="E106" s="1014"/>
      <c r="F106" s="1014"/>
      <c r="G106" s="1014"/>
      <c r="H106" s="1014"/>
      <c r="O106" s="1002"/>
    </row>
    <row r="107" spans="1:27" x14ac:dyDescent="0.2">
      <c r="A107" s="1821" t="s">
        <v>1075</v>
      </c>
      <c r="B107" s="1821"/>
      <c r="C107" s="1821"/>
      <c r="D107" s="1821"/>
      <c r="E107" s="1821"/>
      <c r="F107" s="1821"/>
      <c r="G107" s="1821"/>
      <c r="H107" s="1821"/>
      <c r="O107" s="1002"/>
    </row>
    <row r="108" spans="1:27" x14ac:dyDescent="0.2">
      <c r="A108" s="1821" t="s">
        <v>1076</v>
      </c>
      <c r="B108" s="1821"/>
      <c r="C108" s="1821"/>
      <c r="D108" s="1821"/>
      <c r="E108" s="1821"/>
      <c r="F108" s="1821"/>
      <c r="G108" s="1821"/>
      <c r="H108" s="1821"/>
      <c r="O108" s="1002"/>
    </row>
    <row r="109" spans="1:27" ht="15" x14ac:dyDescent="0.2">
      <c r="A109" s="1015" t="s">
        <v>1077</v>
      </c>
      <c r="B109" s="1014"/>
      <c r="C109" s="1014"/>
      <c r="D109" s="1014"/>
      <c r="E109" s="1014"/>
      <c r="F109" s="1014"/>
      <c r="G109" s="1014"/>
      <c r="H109" s="1014"/>
      <c r="O109" s="1002"/>
    </row>
    <row r="110" spans="1:27" x14ac:dyDescent="0.2">
      <c r="A110" s="1821" t="s">
        <v>1078</v>
      </c>
      <c r="B110" s="1821"/>
      <c r="C110" s="1821"/>
      <c r="D110" s="1821"/>
      <c r="E110" s="1821"/>
      <c r="F110" s="1821"/>
      <c r="G110" s="1821"/>
      <c r="H110" s="1821"/>
      <c r="I110" s="1016"/>
      <c r="J110" s="1016"/>
      <c r="K110" s="1016"/>
      <c r="L110" s="1016"/>
      <c r="M110" s="1016"/>
      <c r="N110" s="1016"/>
      <c r="O110" s="1017"/>
      <c r="P110" s="1016"/>
      <c r="Q110" s="1016"/>
      <c r="R110" s="1016"/>
      <c r="S110" s="1016"/>
      <c r="T110" s="1016"/>
      <c r="U110" s="1016"/>
      <c r="V110" s="1016"/>
      <c r="W110" s="1016"/>
      <c r="X110" s="1016"/>
      <c r="Y110" s="1016"/>
      <c r="Z110" s="1016"/>
      <c r="AA110" s="1016"/>
    </row>
    <row r="111" spans="1:27" ht="15" x14ac:dyDescent="0.2">
      <c r="A111" s="1822" t="s">
        <v>1079</v>
      </c>
      <c r="B111" s="1822"/>
      <c r="C111" s="1822"/>
      <c r="D111" s="1822"/>
      <c r="E111" s="1822"/>
      <c r="F111" s="1822"/>
      <c r="G111" s="1822"/>
      <c r="H111" s="1822"/>
      <c r="I111" s="1016"/>
      <c r="J111" s="1016"/>
      <c r="K111" s="1016"/>
      <c r="L111" s="1016"/>
      <c r="M111" s="1016"/>
      <c r="N111" s="1016"/>
      <c r="O111" s="1017"/>
      <c r="P111" s="1016"/>
      <c r="Q111" s="1016"/>
      <c r="R111" s="1016"/>
      <c r="S111" s="1016"/>
      <c r="T111" s="1016"/>
      <c r="U111" s="1016"/>
      <c r="V111" s="1016"/>
      <c r="W111" s="1016"/>
      <c r="X111" s="1016"/>
      <c r="Y111" s="1016"/>
      <c r="Z111" s="1016"/>
      <c r="AA111" s="1016"/>
    </row>
  </sheetData>
  <mergeCells count="16">
    <mergeCell ref="A1:AA1"/>
    <mergeCell ref="A2:AA2"/>
    <mergeCell ref="B3:H3"/>
    <mergeCell ref="I3:N3"/>
    <mergeCell ref="P3:U3"/>
    <mergeCell ref="V3:AA3"/>
    <mergeCell ref="A107:H107"/>
    <mergeCell ref="A108:H108"/>
    <mergeCell ref="A110:H110"/>
    <mergeCell ref="A111:H111"/>
    <mergeCell ref="A96:H96"/>
    <mergeCell ref="A98:H98"/>
    <mergeCell ref="A100:H100"/>
    <mergeCell ref="A102:H102"/>
    <mergeCell ref="A103:H103"/>
    <mergeCell ref="A105:H10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27</vt:i4>
      </vt:variant>
    </vt:vector>
  </HeadingPairs>
  <TitlesOfParts>
    <vt:vector size="69" baseType="lpstr">
      <vt:lpstr>ERC Sheets -&gt;</vt:lpstr>
      <vt:lpstr>RR-GAP</vt:lpstr>
      <vt:lpstr>A-1</vt:lpstr>
      <vt:lpstr>A-2 (2)</vt:lpstr>
      <vt:lpstr>A-3 (2)</vt:lpstr>
      <vt:lpstr>A-4</vt:lpstr>
      <vt:lpstr>D1-FY-18</vt:lpstr>
      <vt:lpstr>D1FY19</vt:lpstr>
      <vt:lpstr>D1FY20</vt:lpstr>
      <vt:lpstr>D1FY21</vt:lpstr>
      <vt:lpstr>D1FY22</vt:lpstr>
      <vt:lpstr>D2- old</vt:lpstr>
      <vt:lpstr>D1 FY-20actual</vt:lpstr>
      <vt:lpstr>D1FY-21</vt:lpstr>
      <vt:lpstr>D1FY-22</vt:lpstr>
      <vt:lpstr>D2-new</vt:lpstr>
      <vt:lpstr>D-3</vt:lpstr>
      <vt:lpstr>D-4</vt:lpstr>
      <vt:lpstr>D-5</vt:lpstr>
      <vt:lpstr>D-6</vt:lpstr>
      <vt:lpstr>D-6A</vt:lpstr>
      <vt:lpstr>D-7</vt:lpstr>
      <vt:lpstr>D-8</vt:lpstr>
      <vt:lpstr>D-9</vt:lpstr>
      <vt:lpstr>D-9A</vt:lpstr>
      <vt:lpstr>D-10</vt:lpstr>
      <vt:lpstr>D-11</vt:lpstr>
      <vt:lpstr>D-12</vt:lpstr>
      <vt:lpstr>D-13</vt:lpstr>
      <vt:lpstr>D-14</vt:lpstr>
      <vt:lpstr>D-15</vt:lpstr>
      <vt:lpstr>D-16</vt:lpstr>
      <vt:lpstr>D-17</vt:lpstr>
      <vt:lpstr>D-18</vt:lpstr>
      <vt:lpstr>D-18A</vt:lpstr>
      <vt:lpstr>D-19</vt:lpstr>
      <vt:lpstr>D-19A</vt:lpstr>
      <vt:lpstr>D-22</vt:lpstr>
      <vt:lpstr>D-23</vt:lpstr>
      <vt:lpstr>D24</vt:lpstr>
      <vt:lpstr>Sheet1</vt:lpstr>
      <vt:lpstr>Sheet2</vt:lpstr>
      <vt:lpstr>'A-1'!Print_Area</vt:lpstr>
      <vt:lpstr>'A-2 (2)'!Print_Area</vt:lpstr>
      <vt:lpstr>'A-3 (2)'!Print_Area</vt:lpstr>
      <vt:lpstr>'A-4'!Print_Area</vt:lpstr>
      <vt:lpstr>'D-10'!Print_Area</vt:lpstr>
      <vt:lpstr>'D-11'!Print_Area</vt:lpstr>
      <vt:lpstr>'D-12'!Print_Area</vt:lpstr>
      <vt:lpstr>'D-13'!Print_Area</vt:lpstr>
      <vt:lpstr>'D-14'!Print_Area</vt:lpstr>
      <vt:lpstr>'D-15'!Print_Area</vt:lpstr>
      <vt:lpstr>'D-16'!Print_Area</vt:lpstr>
      <vt:lpstr>'D-17'!Print_Area</vt:lpstr>
      <vt:lpstr>'D-18'!Print_Area</vt:lpstr>
      <vt:lpstr>'D-18A'!Print_Area</vt:lpstr>
      <vt:lpstr>'D1FY-22'!Print_Area</vt:lpstr>
      <vt:lpstr>'D-3'!Print_Area</vt:lpstr>
      <vt:lpstr>'D-4'!Print_Area</vt:lpstr>
      <vt:lpstr>'D-5'!Print_Area</vt:lpstr>
      <vt:lpstr>'D-6'!Print_Area</vt:lpstr>
      <vt:lpstr>'D-6A'!Print_Area</vt:lpstr>
      <vt:lpstr>'D-7'!Print_Area</vt:lpstr>
      <vt:lpstr>'D-8'!Print_Area</vt:lpstr>
      <vt:lpstr>'D-9'!Print_Area</vt:lpstr>
      <vt:lpstr>'D-9A'!Print_Area</vt:lpstr>
      <vt:lpstr>'RR-GAP'!Print_Area</vt:lpstr>
      <vt:lpstr>'A-3 (2)'!Print_Titles</vt:lpstr>
      <vt:lpstr>'D1FY-22'!Print_Titles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ARR_MYTR for the first control period</dc:title>
  <dc:creator>Dhiya Consulting Private Limited</dc:creator>
  <cp:lastModifiedBy>ARJUN N N</cp:lastModifiedBy>
  <cp:lastPrinted>2020-11-27T08:33:01Z</cp:lastPrinted>
  <dcterms:created xsi:type="dcterms:W3CDTF">2001-11-27T05:39:22Z</dcterms:created>
  <dcterms:modified xsi:type="dcterms:W3CDTF">2020-12-30T11:13:43Z</dcterms:modified>
</cp:coreProperties>
</file>